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jcsicsné Hajni\Documents\2025. év\2025. I. félév\"/>
    </mc:Choice>
  </mc:AlternateContent>
  <xr:revisionPtr revIDLastSave="0" documentId="13_ncr:1_{8FA7C2AF-CDFD-469D-AB9C-FEB4D3921F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Összesítő" sheetId="2" r:id="rId1"/>
    <sheet name="011130" sheetId="1" r:id="rId2"/>
    <sheet name="013320" sheetId="3" r:id="rId3"/>
    <sheet name="013350" sheetId="4" r:id="rId4"/>
    <sheet name="018010" sheetId="6" r:id="rId5"/>
    <sheet name="018020" sheetId="7" r:id="rId6"/>
    <sheet name="018030" sheetId="8" r:id="rId7"/>
    <sheet name="031060" sheetId="9" r:id="rId8"/>
    <sheet name="032020" sheetId="5" r:id="rId9"/>
    <sheet name="041232" sheetId="11" r:id="rId10"/>
    <sheet name="041233" sheetId="12" r:id="rId11"/>
    <sheet name="042130" sheetId="13" r:id="rId12"/>
    <sheet name="045160" sheetId="14" r:id="rId13"/>
    <sheet name="047410" sheetId="15" r:id="rId14"/>
    <sheet name="049010" sheetId="16" r:id="rId15"/>
    <sheet name="051030" sheetId="17" r:id="rId16"/>
    <sheet name="051060" sheetId="18" r:id="rId17"/>
    <sheet name="052080" sheetId="10" r:id="rId18"/>
    <sheet name="062020" sheetId="26" r:id="rId19"/>
    <sheet name="064010" sheetId="25" r:id="rId20"/>
    <sheet name="066010" sheetId="24" r:id="rId21"/>
    <sheet name="066020" sheetId="23" r:id="rId22"/>
    <sheet name="072111" sheetId="22" r:id="rId23"/>
    <sheet name="072311" sheetId="21" r:id="rId24"/>
    <sheet name="074031" sheetId="20" r:id="rId25"/>
    <sheet name="081030" sheetId="35" r:id="rId26"/>
    <sheet name="082061" sheetId="34" r:id="rId27"/>
    <sheet name="096015" sheetId="33" r:id="rId28"/>
    <sheet name="102023" sheetId="32" r:id="rId29"/>
    <sheet name="104037" sheetId="31" r:id="rId30"/>
    <sheet name="104044" sheetId="37" r:id="rId31"/>
    <sheet name="107051" sheetId="30" r:id="rId32"/>
    <sheet name="107052" sheetId="29" r:id="rId33"/>
    <sheet name="107060" sheetId="28" r:id="rId34"/>
    <sheet name="107080" sheetId="39" r:id="rId35"/>
    <sheet name="900020" sheetId="38" r:id="rId36"/>
    <sheet name="900060" sheetId="27" r:id="rId37"/>
    <sheet name="Tartalékok" sheetId="19" r:id="rId38"/>
  </sheets>
  <definedNames>
    <definedName name="_xlnm.Print_Area" localSheetId="1">'011130'!$A$1:$I$73</definedName>
    <definedName name="_xlnm.Print_Area" localSheetId="21">'066020'!$A$1:$J$103</definedName>
    <definedName name="_xlnm.Print_Area" localSheetId="32">'107052'!$A$1:$H$37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2" l="1"/>
  <c r="E19" i="18"/>
  <c r="E17" i="18"/>
  <c r="E23" i="12"/>
  <c r="E22" i="12"/>
  <c r="E10" i="4"/>
  <c r="E25" i="4"/>
  <c r="E117" i="26"/>
  <c r="E116" i="26"/>
  <c r="E6" i="28"/>
  <c r="E59" i="23"/>
  <c r="E52" i="23"/>
  <c r="E56" i="23"/>
  <c r="E36" i="26"/>
  <c r="E34" i="26"/>
  <c r="G71" i="2"/>
  <c r="E16" i="28"/>
  <c r="E68" i="1"/>
  <c r="E53" i="4"/>
  <c r="E100" i="23"/>
  <c r="D103" i="23"/>
  <c r="E103" i="23"/>
  <c r="C103" i="23"/>
  <c r="D20" i="16"/>
  <c r="E4" i="27"/>
  <c r="E9" i="38"/>
  <c r="F14" i="32"/>
  <c r="E17" i="22"/>
  <c r="E69" i="1"/>
  <c r="E101" i="23"/>
  <c r="E66" i="1"/>
  <c r="E97" i="23"/>
  <c r="E48" i="4"/>
  <c r="E95" i="23"/>
  <c r="E96" i="23"/>
  <c r="E94" i="23"/>
  <c r="D19" i="10"/>
  <c r="E19" i="10"/>
  <c r="C19" i="10"/>
  <c r="D15" i="10"/>
  <c r="E15" i="10"/>
  <c r="C15" i="10"/>
  <c r="E16" i="10"/>
  <c r="E32" i="12"/>
  <c r="F32" i="12"/>
  <c r="F33" i="12"/>
  <c r="D43" i="11"/>
  <c r="E43" i="11"/>
  <c r="C43" i="11"/>
  <c r="D52" i="4"/>
  <c r="E52" i="4"/>
  <c r="F51" i="4"/>
  <c r="F50" i="4"/>
  <c r="E51" i="4"/>
  <c r="E55" i="4"/>
  <c r="E39" i="1"/>
  <c r="E8" i="28"/>
  <c r="E5" i="28"/>
  <c r="E15" i="29"/>
  <c r="D5" i="19"/>
  <c r="D10" i="19"/>
  <c r="C12" i="19"/>
  <c r="D6" i="19"/>
  <c r="E24" i="29"/>
  <c r="E22" i="29"/>
  <c r="E19" i="29"/>
  <c r="E18" i="29"/>
  <c r="E22" i="30"/>
  <c r="E16" i="30"/>
  <c r="E14" i="30"/>
  <c r="E20" i="30"/>
  <c r="E19" i="30"/>
  <c r="E4" i="31"/>
  <c r="E19" i="33"/>
  <c r="E17" i="33"/>
  <c r="E14" i="33"/>
  <c r="E15" i="33"/>
  <c r="E54" i="1"/>
  <c r="E8" i="34"/>
  <c r="E4" i="35"/>
  <c r="E25" i="20"/>
  <c r="E17" i="20"/>
  <c r="D4" i="20"/>
  <c r="E52" i="1" l="1"/>
  <c r="E6" i="22"/>
  <c r="E5" i="22"/>
  <c r="E4" i="22"/>
  <c r="E36" i="4" l="1"/>
  <c r="E18" i="18"/>
  <c r="E16" i="18"/>
  <c r="E82" i="23"/>
  <c r="E75" i="23"/>
  <c r="E64" i="23"/>
  <c r="E46" i="23"/>
  <c r="D64" i="23"/>
  <c r="D68" i="23" s="1"/>
  <c r="E61" i="23"/>
  <c r="E44" i="23"/>
  <c r="E57" i="23"/>
  <c r="F53" i="23"/>
  <c r="E35" i="1"/>
  <c r="E6" i="24"/>
  <c r="E16" i="23"/>
  <c r="E20" i="23"/>
  <c r="E38" i="23"/>
  <c r="E39" i="23"/>
  <c r="E51" i="23"/>
  <c r="F48" i="23"/>
  <c r="F33" i="23"/>
  <c r="E12" i="4"/>
  <c r="E19" i="23"/>
  <c r="E12" i="23"/>
  <c r="F5" i="23"/>
  <c r="F6" i="23"/>
  <c r="C7" i="23"/>
  <c r="E7" i="23"/>
  <c r="D7" i="23"/>
  <c r="E9" i="24"/>
  <c r="E8" i="24"/>
  <c r="E6" i="25"/>
  <c r="E4" i="25"/>
  <c r="D102" i="26"/>
  <c r="E102" i="26"/>
  <c r="E29" i="26"/>
  <c r="E28" i="26"/>
  <c r="F117" i="26"/>
  <c r="E31" i="26"/>
  <c r="D115" i="26"/>
  <c r="F115" i="26" s="1"/>
  <c r="F113" i="26"/>
  <c r="F114" i="26"/>
  <c r="F111" i="26"/>
  <c r="D133" i="26"/>
  <c r="E133" i="26"/>
  <c r="D130" i="26"/>
  <c r="E130" i="26"/>
  <c r="C130" i="26"/>
  <c r="D100" i="26"/>
  <c r="D57" i="26"/>
  <c r="E57" i="26"/>
  <c r="D33" i="26"/>
  <c r="C33" i="26"/>
  <c r="C100" i="26"/>
  <c r="E77" i="26"/>
  <c r="E78" i="26" s="1"/>
  <c r="D78" i="26"/>
  <c r="C78" i="26"/>
  <c r="E95" i="26"/>
  <c r="E100" i="26" s="1"/>
  <c r="E68" i="23" l="1"/>
  <c r="D103" i="26"/>
  <c r="E103" i="26"/>
  <c r="E134" i="26"/>
  <c r="F134" i="26" s="1"/>
  <c r="D134" i="26"/>
  <c r="E118" i="26"/>
  <c r="F116" i="26"/>
  <c r="F133" i="26"/>
  <c r="F130" i="26"/>
  <c r="F78" i="26"/>
  <c r="E33" i="26"/>
  <c r="F108" i="26"/>
  <c r="F109" i="26"/>
  <c r="D107" i="26"/>
  <c r="D17" i="10"/>
  <c r="E17" i="10"/>
  <c r="C17" i="10"/>
  <c r="F8" i="18"/>
  <c r="F9" i="18"/>
  <c r="F10" i="18"/>
  <c r="F12" i="18"/>
  <c r="F13" i="18"/>
  <c r="F5" i="18"/>
  <c r="F6" i="18"/>
  <c r="D18" i="18"/>
  <c r="F18" i="18" s="1"/>
  <c r="C18" i="18"/>
  <c r="D16" i="18"/>
  <c r="F16" i="18" s="1"/>
  <c r="C16" i="18"/>
  <c r="F19" i="18"/>
  <c r="E4" i="18"/>
  <c r="F4" i="18" s="1"/>
  <c r="E4" i="17"/>
  <c r="E7" i="17"/>
  <c r="F4" i="16"/>
  <c r="F5" i="16"/>
  <c r="D12" i="16"/>
  <c r="C12" i="16"/>
  <c r="E10" i="16"/>
  <c r="E12" i="16" s="1"/>
  <c r="F5" i="14"/>
  <c r="F9" i="14"/>
  <c r="D10" i="14"/>
  <c r="E10" i="14"/>
  <c r="F10" i="14" s="1"/>
  <c r="C10" i="14"/>
  <c r="D21" i="12"/>
  <c r="C21" i="12"/>
  <c r="E18" i="12"/>
  <c r="E21" i="12" s="1"/>
  <c r="E6" i="12"/>
  <c r="E4" i="12"/>
  <c r="C10" i="12"/>
  <c r="D6" i="12"/>
  <c r="F9" i="12"/>
  <c r="F30" i="11"/>
  <c r="F28" i="11"/>
  <c r="F25" i="11"/>
  <c r="F24" i="11"/>
  <c r="F15" i="11"/>
  <c r="F16" i="11"/>
  <c r="F17" i="11"/>
  <c r="F18" i="11"/>
  <c r="F20" i="11"/>
  <c r="F14" i="11"/>
  <c r="F9" i="11"/>
  <c r="F6" i="11"/>
  <c r="C31" i="11"/>
  <c r="E31" i="11"/>
  <c r="D4" i="11"/>
  <c r="F4" i="11" s="1"/>
  <c r="E4" i="5"/>
  <c r="F4" i="9"/>
  <c r="F5" i="9"/>
  <c r="F6" i="9"/>
  <c r="F8" i="9"/>
  <c r="F9" i="9"/>
  <c r="F10" i="9"/>
  <c r="F14" i="9"/>
  <c r="F15" i="9"/>
  <c r="F16" i="9"/>
  <c r="E13" i="9"/>
  <c r="F13" i="9" s="1"/>
  <c r="D11" i="8"/>
  <c r="E6" i="8"/>
  <c r="F5" i="8"/>
  <c r="C6" i="6"/>
  <c r="E6" i="6"/>
  <c r="F5" i="6"/>
  <c r="K5" i="4"/>
  <c r="E34" i="4"/>
  <c r="F34" i="4" s="1"/>
  <c r="D31" i="4"/>
  <c r="E30" i="4"/>
  <c r="E31" i="4" s="1"/>
  <c r="E19" i="4"/>
  <c r="E18" i="4"/>
  <c r="E23" i="4"/>
  <c r="E15" i="4"/>
  <c r="E14" i="4"/>
  <c r="E6" i="4"/>
  <c r="F33" i="4"/>
  <c r="F32" i="4"/>
  <c r="F29" i="4"/>
  <c r="D35" i="4"/>
  <c r="C35" i="4"/>
  <c r="E47" i="1"/>
  <c r="E41" i="1"/>
  <c r="E43" i="1"/>
  <c r="E30" i="1"/>
  <c r="E37" i="1"/>
  <c r="E22" i="1"/>
  <c r="E36" i="1"/>
  <c r="E26" i="1"/>
  <c r="E25" i="1"/>
  <c r="E12" i="1"/>
  <c r="E15" i="1"/>
  <c r="E17" i="1"/>
  <c r="E16" i="1"/>
  <c r="F16" i="1" s="1"/>
  <c r="E20" i="1"/>
  <c r="E18" i="1"/>
  <c r="E7" i="1"/>
  <c r="D20" i="18" l="1"/>
  <c r="F6" i="12"/>
  <c r="E20" i="18"/>
  <c r="F17" i="18"/>
  <c r="E48" i="1"/>
  <c r="E10" i="12"/>
  <c r="E35" i="4"/>
  <c r="F35" i="4" s="1"/>
  <c r="E10" i="1"/>
  <c r="D31" i="12" l="1"/>
  <c r="D39" i="11"/>
  <c r="D38" i="11"/>
  <c r="F38" i="11" s="1"/>
  <c r="D13" i="4"/>
  <c r="D4" i="4"/>
  <c r="D7" i="19"/>
  <c r="D12" i="19" s="1"/>
  <c r="D17" i="8"/>
  <c r="K18" i="4"/>
  <c r="J18" i="4"/>
  <c r="I18" i="4"/>
  <c r="J10" i="4"/>
  <c r="K10" i="4"/>
  <c r="I10" i="4"/>
  <c r="L6" i="4"/>
  <c r="L7" i="4"/>
  <c r="L16" i="4"/>
  <c r="L5" i="4"/>
  <c r="E12" i="29"/>
  <c r="L10" i="4" l="1"/>
  <c r="L18" i="4"/>
  <c r="D123" i="26"/>
  <c r="E123" i="26"/>
  <c r="D118" i="26"/>
  <c r="C118" i="26"/>
  <c r="C119" i="26" s="1"/>
  <c r="C122" i="26" s="1"/>
  <c r="D110" i="26"/>
  <c r="E110" i="26"/>
  <c r="C110" i="26"/>
  <c r="F107" i="26"/>
  <c r="F119" i="26"/>
  <c r="F112" i="26"/>
  <c r="D155" i="26"/>
  <c r="F154" i="26"/>
  <c r="C155" i="26"/>
  <c r="F153" i="26"/>
  <c r="F152" i="26"/>
  <c r="D8" i="12"/>
  <c r="D5" i="12"/>
  <c r="D50" i="1"/>
  <c r="F50" i="1" s="1"/>
  <c r="D18" i="22"/>
  <c r="D6" i="22"/>
  <c r="D5" i="22"/>
  <c r="D8" i="22" s="1"/>
  <c r="D17" i="9"/>
  <c r="E17" i="9"/>
  <c r="C17" i="9"/>
  <c r="D26" i="11"/>
  <c r="E26" i="11"/>
  <c r="C26" i="11"/>
  <c r="D31" i="11"/>
  <c r="F31" i="11" s="1"/>
  <c r="D5" i="11"/>
  <c r="D24" i="12"/>
  <c r="E24" i="12"/>
  <c r="C24" i="12"/>
  <c r="F13" i="12"/>
  <c r="F17" i="12"/>
  <c r="F18" i="12"/>
  <c r="F19" i="12"/>
  <c r="F22" i="12"/>
  <c r="F23" i="12"/>
  <c r="F51" i="1"/>
  <c r="F60" i="23"/>
  <c r="F57" i="23"/>
  <c r="F15" i="23"/>
  <c r="F14" i="23"/>
  <c r="F40" i="23"/>
  <c r="F41" i="23"/>
  <c r="F42" i="23"/>
  <c r="F47" i="23"/>
  <c r="F50" i="23"/>
  <c r="F51" i="23"/>
  <c r="F52" i="23"/>
  <c r="F56" i="23"/>
  <c r="F58" i="23"/>
  <c r="F35" i="23"/>
  <c r="F30" i="23"/>
  <c r="F28" i="23"/>
  <c r="F26" i="23"/>
  <c r="F11" i="23"/>
  <c r="F12" i="23"/>
  <c r="F13" i="23"/>
  <c r="D86" i="23"/>
  <c r="C86" i="23"/>
  <c r="F8" i="23"/>
  <c r="F4" i="23"/>
  <c r="D69" i="23"/>
  <c r="D70" i="23" s="1"/>
  <c r="D49" i="1"/>
  <c r="D27" i="4"/>
  <c r="D9" i="24"/>
  <c r="D8" i="24"/>
  <c r="D10" i="24" s="1"/>
  <c r="D6" i="8"/>
  <c r="D5" i="28"/>
  <c r="D7" i="28" s="1"/>
  <c r="D16" i="28"/>
  <c r="D36" i="26"/>
  <c r="D38" i="26" s="1"/>
  <c r="F31" i="23"/>
  <c r="D4" i="6"/>
  <c r="D6" i="6" s="1"/>
  <c r="E7" i="8"/>
  <c r="C7" i="8"/>
  <c r="D7" i="12"/>
  <c r="D4" i="12"/>
  <c r="D7" i="11"/>
  <c r="F7" i="11" s="1"/>
  <c r="D4" i="33"/>
  <c r="D7" i="33"/>
  <c r="D10" i="11"/>
  <c r="D4" i="29"/>
  <c r="D11" i="29"/>
  <c r="C12" i="29"/>
  <c r="D5" i="39"/>
  <c r="D7" i="39" s="1"/>
  <c r="D9" i="28"/>
  <c r="D28" i="29"/>
  <c r="D26" i="29"/>
  <c r="D27" i="30"/>
  <c r="D25" i="30"/>
  <c r="D8" i="30"/>
  <c r="D7" i="32"/>
  <c r="D5" i="32"/>
  <c r="D23" i="33"/>
  <c r="D21" i="33"/>
  <c r="D9" i="34"/>
  <c r="D5" i="35"/>
  <c r="D28" i="20"/>
  <c r="D26" i="20"/>
  <c r="D9" i="20"/>
  <c r="D7" i="21"/>
  <c r="D5" i="21"/>
  <c r="D10" i="22"/>
  <c r="D13" i="24"/>
  <c r="D7" i="24"/>
  <c r="D11" i="25"/>
  <c r="D8" i="25"/>
  <c r="C9" i="26"/>
  <c r="C102" i="26"/>
  <c r="F89" i="26"/>
  <c r="F88" i="26"/>
  <c r="D81" i="26"/>
  <c r="D82" i="26" s="1"/>
  <c r="E81" i="26"/>
  <c r="E82" i="26" s="1"/>
  <c r="C81" i="26"/>
  <c r="C82" i="26" s="1"/>
  <c r="D72" i="26"/>
  <c r="D69" i="26"/>
  <c r="E72" i="26"/>
  <c r="C72" i="26"/>
  <c r="F70" i="26"/>
  <c r="E69" i="26"/>
  <c r="C69" i="26"/>
  <c r="F67" i="26"/>
  <c r="D62" i="26"/>
  <c r="D46" i="26"/>
  <c r="D44" i="26"/>
  <c r="E62" i="26"/>
  <c r="C62" i="26"/>
  <c r="F58" i="26"/>
  <c r="C57" i="26"/>
  <c r="F52" i="26"/>
  <c r="F47" i="26"/>
  <c r="E46" i="26"/>
  <c r="C46" i="26"/>
  <c r="F45" i="26"/>
  <c r="E44" i="26"/>
  <c r="C44" i="26"/>
  <c r="F43" i="26"/>
  <c r="D22" i="26"/>
  <c r="D15" i="26"/>
  <c r="D9" i="26"/>
  <c r="D7" i="26"/>
  <c r="E38" i="26"/>
  <c r="C38" i="26"/>
  <c r="E22" i="26"/>
  <c r="E15" i="26"/>
  <c r="C22" i="26"/>
  <c r="C15" i="26"/>
  <c r="F10" i="26"/>
  <c r="D9" i="10"/>
  <c r="D7" i="10"/>
  <c r="C20" i="18"/>
  <c r="D15" i="18"/>
  <c r="E15" i="18"/>
  <c r="E23" i="18" s="1"/>
  <c r="C15" i="18"/>
  <c r="D14" i="16"/>
  <c r="F8" i="16"/>
  <c r="D13" i="14"/>
  <c r="D8" i="14"/>
  <c r="D8" i="13"/>
  <c r="D16" i="12"/>
  <c r="D13" i="11"/>
  <c r="D7" i="9"/>
  <c r="E7" i="9"/>
  <c r="C7" i="9"/>
  <c r="D54" i="4"/>
  <c r="F46" i="1"/>
  <c r="D13" i="1"/>
  <c r="F4" i="30"/>
  <c r="F11" i="20"/>
  <c r="F12" i="20"/>
  <c r="F94" i="23"/>
  <c r="F43" i="23"/>
  <c r="F32" i="23"/>
  <c r="F34" i="23"/>
  <c r="F8" i="26"/>
  <c r="F6" i="26"/>
  <c r="F21" i="16"/>
  <c r="F20" i="16"/>
  <c r="F19" i="16"/>
  <c r="F22" i="4"/>
  <c r="F23" i="4"/>
  <c r="F24" i="4"/>
  <c r="F31" i="33"/>
  <c r="F30" i="33"/>
  <c r="F19" i="33"/>
  <c r="F36" i="20"/>
  <c r="F35" i="20"/>
  <c r="F17" i="22"/>
  <c r="F149" i="26"/>
  <c r="F150" i="26"/>
  <c r="F144" i="26"/>
  <c r="F145" i="26"/>
  <c r="F27" i="18"/>
  <c r="F26" i="18"/>
  <c r="F16" i="13"/>
  <c r="F15" i="13"/>
  <c r="F31" i="12"/>
  <c r="F30" i="12"/>
  <c r="F39" i="11"/>
  <c r="D10" i="12" l="1"/>
  <c r="F24" i="12"/>
  <c r="C23" i="18"/>
  <c r="D12" i="29"/>
  <c r="F17" i="9"/>
  <c r="O9" i="26"/>
  <c r="D88" i="23"/>
  <c r="F4" i="29"/>
  <c r="D7" i="8"/>
  <c r="F6" i="8"/>
  <c r="O10" i="26"/>
  <c r="F7" i="9"/>
  <c r="P10" i="26"/>
  <c r="D8" i="33"/>
  <c r="N9" i="26"/>
  <c r="N8" i="26"/>
  <c r="P9" i="26"/>
  <c r="E124" i="26"/>
  <c r="O8" i="26"/>
  <c r="D124" i="26"/>
  <c r="O7" i="26"/>
  <c r="C123" i="26"/>
  <c r="D23" i="18"/>
  <c r="D15" i="14"/>
  <c r="F21" i="12"/>
  <c r="F123" i="26"/>
  <c r="F110" i="26"/>
  <c r="F102" i="26"/>
  <c r="F118" i="26"/>
  <c r="O11" i="26"/>
  <c r="D8" i="11"/>
  <c r="D33" i="11" s="1"/>
  <c r="F7" i="23"/>
  <c r="D25" i="12"/>
  <c r="N11" i="26"/>
  <c r="P11" i="26"/>
  <c r="C103" i="26"/>
  <c r="F82" i="26"/>
  <c r="F100" i="26"/>
  <c r="F81" i="26"/>
  <c r="F72" i="26"/>
  <c r="F69" i="26"/>
  <c r="C73" i="26"/>
  <c r="D73" i="26"/>
  <c r="E73" i="26"/>
  <c r="D63" i="26"/>
  <c r="F46" i="26"/>
  <c r="F57" i="26"/>
  <c r="F62" i="26"/>
  <c r="C63" i="26"/>
  <c r="E39" i="26"/>
  <c r="F44" i="26"/>
  <c r="E63" i="26"/>
  <c r="C39" i="26"/>
  <c r="D39" i="26"/>
  <c r="F33" i="26"/>
  <c r="F30" i="26"/>
  <c r="F38" i="26"/>
  <c r="F34" i="26"/>
  <c r="F20" i="18"/>
  <c r="F7" i="18"/>
  <c r="E57" i="1"/>
  <c r="C57" i="1"/>
  <c r="D57" i="1"/>
  <c r="D8" i="3"/>
  <c r="E8" i="3"/>
  <c r="E10" i="3" s="1"/>
  <c r="C8" i="3"/>
  <c r="E23" i="33"/>
  <c r="C23" i="33"/>
  <c r="C55" i="1"/>
  <c r="C124" i="26" l="1"/>
  <c r="C132" i="26" s="1"/>
  <c r="C133" i="26" s="1"/>
  <c r="F124" i="26"/>
  <c r="Q9" i="26"/>
  <c r="Q10" i="26"/>
  <c r="F103" i="26"/>
  <c r="O12" i="26"/>
  <c r="Q11" i="26"/>
  <c r="F63" i="26"/>
  <c r="F73" i="26"/>
  <c r="F39" i="26"/>
  <c r="C134" i="26" l="1"/>
  <c r="N10" i="26"/>
  <c r="F16" i="26"/>
  <c r="F22" i="26"/>
  <c r="F12" i="26"/>
  <c r="F15" i="26"/>
  <c r="F15" i="30"/>
  <c r="D11" i="17"/>
  <c r="E11" i="17"/>
  <c r="C11" i="17"/>
  <c r="F4" i="17"/>
  <c r="F10" i="17"/>
  <c r="F6" i="17"/>
  <c r="F7" i="17"/>
  <c r="E19" i="17"/>
  <c r="D19" i="17"/>
  <c r="C19" i="17"/>
  <c r="E9" i="26"/>
  <c r="E7" i="26"/>
  <c r="P7" i="26" s="1"/>
  <c r="C7" i="26"/>
  <c r="E155" i="26"/>
  <c r="F148" i="26"/>
  <c r="F10" i="29"/>
  <c r="F7" i="29"/>
  <c r="E5" i="39"/>
  <c r="E9" i="28"/>
  <c r="E7" i="28"/>
  <c r="N7" i="26" l="1"/>
  <c r="N12" i="26" s="1"/>
  <c r="P8" i="26"/>
  <c r="P12" i="26" s="1"/>
  <c r="Q12" i="26" s="1"/>
  <c r="Q7" i="26"/>
  <c r="E23" i="26"/>
  <c r="E137" i="26" s="1"/>
  <c r="D23" i="26"/>
  <c r="D137" i="26" s="1"/>
  <c r="C23" i="26"/>
  <c r="C137" i="26" s="1"/>
  <c r="D55" i="1"/>
  <c r="F7" i="26"/>
  <c r="F9" i="26"/>
  <c r="F74" i="23"/>
  <c r="F76" i="23"/>
  <c r="F80" i="23"/>
  <c r="F84" i="23"/>
  <c r="F71" i="23"/>
  <c r="F25" i="23"/>
  <c r="F24" i="23"/>
  <c r="F23" i="23"/>
  <c r="D11" i="10"/>
  <c r="E8" i="11"/>
  <c r="E5" i="5"/>
  <c r="E11" i="8"/>
  <c r="E9" i="7"/>
  <c r="E5" i="7"/>
  <c r="E7" i="7"/>
  <c r="E28" i="4"/>
  <c r="E37" i="4"/>
  <c r="C31" i="4"/>
  <c r="F54" i="1"/>
  <c r="F17" i="1"/>
  <c r="E13" i="1"/>
  <c r="F10" i="38"/>
  <c r="F8" i="38"/>
  <c r="F35" i="29"/>
  <c r="D37" i="30"/>
  <c r="C37" i="30"/>
  <c r="F35" i="30"/>
  <c r="F34" i="30"/>
  <c r="F6" i="37"/>
  <c r="F151" i="26"/>
  <c r="D57" i="4"/>
  <c r="E57" i="4"/>
  <c r="C57" i="4"/>
  <c r="E54" i="4"/>
  <c r="F69" i="1"/>
  <c r="C54" i="4"/>
  <c r="F97" i="23"/>
  <c r="F93" i="23"/>
  <c r="Q8" i="26" l="1"/>
  <c r="F31" i="4"/>
  <c r="F23" i="26"/>
  <c r="E10" i="7"/>
  <c r="E55" i="1"/>
  <c r="E26" i="4"/>
  <c r="F53" i="4"/>
  <c r="E14" i="16"/>
  <c r="C14" i="16"/>
  <c r="F4" i="4"/>
  <c r="F17" i="8"/>
  <c r="E59" i="1" l="1"/>
  <c r="E26" i="29"/>
  <c r="E37" i="30"/>
  <c r="E25" i="30"/>
  <c r="C8" i="33"/>
  <c r="E8" i="33"/>
  <c r="F38" i="2"/>
  <c r="E7" i="39"/>
  <c r="G38" i="2" s="1"/>
  <c r="F5" i="39"/>
  <c r="C5" i="39"/>
  <c r="C7" i="39" s="1"/>
  <c r="E38" i="2" s="1"/>
  <c r="F4" i="39"/>
  <c r="E68" i="2"/>
  <c r="E5" i="27"/>
  <c r="E7" i="27" s="1"/>
  <c r="G68" i="2" s="1"/>
  <c r="D5" i="27"/>
  <c r="D7" i="27" s="1"/>
  <c r="F68" i="2" s="1"/>
  <c r="C5" i="27"/>
  <c r="C7" i="27" s="1"/>
  <c r="F4" i="27"/>
  <c r="E11" i="38"/>
  <c r="D11" i="38"/>
  <c r="C11" i="38"/>
  <c r="F7" i="38"/>
  <c r="F6" i="38"/>
  <c r="F5" i="38"/>
  <c r="F4" i="38"/>
  <c r="D20" i="22"/>
  <c r="E20" i="22"/>
  <c r="C20" i="22"/>
  <c r="G39" i="2"/>
  <c r="F16" i="28"/>
  <c r="E11" i="28"/>
  <c r="G37" i="2" s="1"/>
  <c r="D11" i="28"/>
  <c r="F37" i="2" s="1"/>
  <c r="C7" i="28"/>
  <c r="D30" i="29"/>
  <c r="F36" i="2" s="1"/>
  <c r="E28" i="29"/>
  <c r="C28" i="29"/>
  <c r="F17" i="29"/>
  <c r="F15" i="29"/>
  <c r="F14" i="29"/>
  <c r="E8" i="30"/>
  <c r="E27" i="30"/>
  <c r="C27" i="30"/>
  <c r="F26" i="30"/>
  <c r="E8" i="37"/>
  <c r="G63" i="2" s="1"/>
  <c r="D8" i="37"/>
  <c r="F63" i="2" s="1"/>
  <c r="C8" i="37"/>
  <c r="E63" i="2" s="1"/>
  <c r="E6" i="31"/>
  <c r="E8" i="31" s="1"/>
  <c r="G34" i="2" s="1"/>
  <c r="F4" i="31"/>
  <c r="E7" i="32"/>
  <c r="E5" i="32"/>
  <c r="D9" i="32"/>
  <c r="F33" i="2" s="1"/>
  <c r="E21" i="33"/>
  <c r="E9" i="34"/>
  <c r="E11" i="34" s="1"/>
  <c r="G31" i="2" s="1"/>
  <c r="D11" i="34"/>
  <c r="F31" i="2" s="1"/>
  <c r="F6" i="34"/>
  <c r="F5" i="34"/>
  <c r="F4" i="34"/>
  <c r="E5" i="35"/>
  <c r="E7" i="35" s="1"/>
  <c r="G30" i="2" s="1"/>
  <c r="E28" i="20"/>
  <c r="E26" i="20"/>
  <c r="E9" i="20"/>
  <c r="C26" i="20"/>
  <c r="E5" i="21"/>
  <c r="E7" i="21" s="1"/>
  <c r="F28" i="2"/>
  <c r="C5" i="21"/>
  <c r="C7" i="21" s="1"/>
  <c r="F4" i="21"/>
  <c r="E10" i="22"/>
  <c r="E8" i="22"/>
  <c r="E58" i="2"/>
  <c r="G58" i="2"/>
  <c r="E86" i="23"/>
  <c r="E70" i="23"/>
  <c r="F61" i="23"/>
  <c r="F62" i="23"/>
  <c r="F64" i="23"/>
  <c r="F66" i="23"/>
  <c r="F67" i="23"/>
  <c r="F29" i="23"/>
  <c r="F27" i="23"/>
  <c r="F22" i="23"/>
  <c r="E13" i="24"/>
  <c r="E10" i="24"/>
  <c r="E7" i="24"/>
  <c r="D15" i="24"/>
  <c r="F25" i="2" s="1"/>
  <c r="C13" i="24"/>
  <c r="E11" i="25"/>
  <c r="E8" i="25"/>
  <c r="F4" i="25"/>
  <c r="E88" i="23" l="1"/>
  <c r="G26" i="2" s="1"/>
  <c r="D29" i="30"/>
  <c r="F35" i="2" s="1"/>
  <c r="E28" i="2"/>
  <c r="C13" i="38"/>
  <c r="E67" i="2" s="1"/>
  <c r="D13" i="38"/>
  <c r="F67" i="2" s="1"/>
  <c r="E13" i="38"/>
  <c r="G67" i="2" s="1"/>
  <c r="E25" i="33"/>
  <c r="G32" i="2" s="1"/>
  <c r="G28" i="2"/>
  <c r="H28" i="2" s="1"/>
  <c r="H63" i="2"/>
  <c r="H68" i="2"/>
  <c r="D13" i="25"/>
  <c r="F24" i="2" s="1"/>
  <c r="E9" i="32"/>
  <c r="G33" i="2" s="1"/>
  <c r="H33" i="2" s="1"/>
  <c r="H37" i="2"/>
  <c r="H38" i="2"/>
  <c r="H31" i="2"/>
  <c r="E30" i="29"/>
  <c r="G36" i="2" s="1"/>
  <c r="F7" i="39"/>
  <c r="F5" i="27"/>
  <c r="F7" i="27"/>
  <c r="F11" i="38"/>
  <c r="D12" i="22"/>
  <c r="F27" i="2" s="1"/>
  <c r="E29" i="30"/>
  <c r="G35" i="2" s="1"/>
  <c r="F27" i="30"/>
  <c r="F8" i="37"/>
  <c r="F5" i="21"/>
  <c r="E12" i="22"/>
  <c r="G27" i="2" s="1"/>
  <c r="F26" i="2"/>
  <c r="E15" i="24"/>
  <c r="G25" i="2" s="1"/>
  <c r="H25" i="2" s="1"/>
  <c r="E13" i="25"/>
  <c r="G24" i="2" s="1"/>
  <c r="F80" i="26"/>
  <c r="F79" i="26"/>
  <c r="H36" i="2" l="1"/>
  <c r="H35" i="2"/>
  <c r="H67" i="2"/>
  <c r="F13" i="38"/>
  <c r="H24" i="2"/>
  <c r="H26" i="2"/>
  <c r="H27" i="2"/>
  <c r="F23" i="2"/>
  <c r="F7" i="21"/>
  <c r="C5" i="35" l="1"/>
  <c r="C7" i="35" s="1"/>
  <c r="E30" i="2" s="1"/>
  <c r="F4" i="35"/>
  <c r="F9" i="34"/>
  <c r="C9" i="34"/>
  <c r="C11" i="34" s="1"/>
  <c r="E31" i="2" s="1"/>
  <c r="F8" i="34"/>
  <c r="F7" i="34"/>
  <c r="E33" i="33"/>
  <c r="G61" i="2" s="1"/>
  <c r="D33" i="33"/>
  <c r="F61" i="2" s="1"/>
  <c r="C33" i="33"/>
  <c r="E61" i="2" s="1"/>
  <c r="D25" i="33"/>
  <c r="C21" i="33"/>
  <c r="C25" i="33" s="1"/>
  <c r="F20" i="33"/>
  <c r="F17" i="33"/>
  <c r="F16" i="33"/>
  <c r="F15" i="33"/>
  <c r="F14" i="33"/>
  <c r="F13" i="33"/>
  <c r="F11" i="33"/>
  <c r="F10" i="33"/>
  <c r="F9" i="33"/>
  <c r="F8" i="33"/>
  <c r="F6" i="33"/>
  <c r="F4" i="33"/>
  <c r="E16" i="32"/>
  <c r="G62" i="2" s="1"/>
  <c r="D16" i="32"/>
  <c r="C16" i="32"/>
  <c r="E62" i="2" s="1"/>
  <c r="F7" i="32"/>
  <c r="C7" i="32"/>
  <c r="F6" i="32"/>
  <c r="C5" i="32"/>
  <c r="F4" i="32"/>
  <c r="D6" i="31"/>
  <c r="C6" i="31"/>
  <c r="C8" i="31" s="1"/>
  <c r="E34" i="2" s="1"/>
  <c r="F5" i="31"/>
  <c r="G64" i="2"/>
  <c r="F64" i="2"/>
  <c r="E64" i="2"/>
  <c r="F25" i="30"/>
  <c r="C25" i="30"/>
  <c r="F24" i="30"/>
  <c r="F23" i="30"/>
  <c r="F22" i="30"/>
  <c r="F21" i="30"/>
  <c r="F20" i="30"/>
  <c r="F19" i="30"/>
  <c r="F18" i="30"/>
  <c r="F17" i="30"/>
  <c r="F16" i="30"/>
  <c r="F14" i="30"/>
  <c r="F13" i="30"/>
  <c r="F12" i="30"/>
  <c r="F11" i="30"/>
  <c r="F10" i="30"/>
  <c r="F9" i="30"/>
  <c r="F8" i="30"/>
  <c r="C8" i="30"/>
  <c r="F7" i="30"/>
  <c r="E37" i="29"/>
  <c r="G65" i="2" s="1"/>
  <c r="D37" i="29"/>
  <c r="F65" i="2" s="1"/>
  <c r="C37" i="29"/>
  <c r="E65" i="2" s="1"/>
  <c r="C26" i="29"/>
  <c r="F24" i="29"/>
  <c r="F23" i="29"/>
  <c r="F22" i="29"/>
  <c r="F21" i="29"/>
  <c r="F20" i="29"/>
  <c r="F19" i="29"/>
  <c r="F18" i="29"/>
  <c r="F13" i="29"/>
  <c r="F12" i="29"/>
  <c r="F8" i="29"/>
  <c r="E17" i="28"/>
  <c r="G66" i="2" s="1"/>
  <c r="D17" i="28"/>
  <c r="F66" i="2" s="1"/>
  <c r="C17" i="28"/>
  <c r="E66" i="2" s="1"/>
  <c r="F9" i="28"/>
  <c r="C9" i="28"/>
  <c r="C11" i="28" s="1"/>
  <c r="E37" i="2" s="1"/>
  <c r="F8" i="28"/>
  <c r="F7" i="28"/>
  <c r="F6" i="28"/>
  <c r="F5" i="28"/>
  <c r="F4" i="28"/>
  <c r="E38" i="20"/>
  <c r="G60" i="2" s="1"/>
  <c r="D38" i="20"/>
  <c r="F60" i="2" s="1"/>
  <c r="C38" i="20"/>
  <c r="E60" i="2" s="1"/>
  <c r="E30" i="20"/>
  <c r="G29" i="2" s="1"/>
  <c r="C28" i="20"/>
  <c r="F26" i="20"/>
  <c r="F25" i="20"/>
  <c r="F24" i="20"/>
  <c r="F23" i="20"/>
  <c r="F21" i="20"/>
  <c r="F20" i="20"/>
  <c r="F18" i="20"/>
  <c r="F17" i="20"/>
  <c r="F16" i="20"/>
  <c r="F15" i="20"/>
  <c r="F14" i="20"/>
  <c r="F13" i="20"/>
  <c r="F10" i="20"/>
  <c r="F9" i="20"/>
  <c r="C9" i="20"/>
  <c r="F8" i="20"/>
  <c r="F6" i="20"/>
  <c r="F4" i="20"/>
  <c r="G59" i="2"/>
  <c r="F59" i="2"/>
  <c r="E59" i="2"/>
  <c r="F10" i="22"/>
  <c r="C10" i="22"/>
  <c r="F9" i="22"/>
  <c r="C8" i="22"/>
  <c r="F7" i="22"/>
  <c r="F4" i="22"/>
  <c r="F58" i="2"/>
  <c r="H58" i="2" s="1"/>
  <c r="F70" i="23"/>
  <c r="C70" i="23"/>
  <c r="F69" i="23"/>
  <c r="C68" i="23"/>
  <c r="F59" i="23"/>
  <c r="F46" i="23"/>
  <c r="F45" i="23"/>
  <c r="F44" i="23"/>
  <c r="F39" i="23"/>
  <c r="F38" i="23"/>
  <c r="F37" i="23"/>
  <c r="F36" i="23"/>
  <c r="F20" i="23"/>
  <c r="F19" i="23"/>
  <c r="F18" i="23"/>
  <c r="F17" i="23"/>
  <c r="F16" i="23"/>
  <c r="F9" i="23"/>
  <c r="F10" i="24"/>
  <c r="C10" i="24"/>
  <c r="F9" i="24"/>
  <c r="F8" i="24"/>
  <c r="C7" i="24"/>
  <c r="F6" i="24"/>
  <c r="F4" i="24"/>
  <c r="F11" i="25"/>
  <c r="C11" i="25"/>
  <c r="F10" i="25"/>
  <c r="F9" i="25"/>
  <c r="F8" i="25"/>
  <c r="C8" i="25"/>
  <c r="F7" i="25"/>
  <c r="F6" i="25"/>
  <c r="F5" i="25"/>
  <c r="G57" i="2"/>
  <c r="F57" i="2"/>
  <c r="E57" i="2"/>
  <c r="E23" i="2"/>
  <c r="G23" i="2"/>
  <c r="H23" i="2" s="1"/>
  <c r="F56" i="2"/>
  <c r="E56" i="2"/>
  <c r="F22" i="2"/>
  <c r="F8" i="10"/>
  <c r="E9" i="10"/>
  <c r="F9" i="10" s="1"/>
  <c r="C9" i="10"/>
  <c r="E7" i="10"/>
  <c r="C7" i="10"/>
  <c r="F6" i="10"/>
  <c r="F5" i="10"/>
  <c r="F4" i="10"/>
  <c r="E29" i="18"/>
  <c r="G55" i="2" s="1"/>
  <c r="D29" i="18"/>
  <c r="F55" i="2" s="1"/>
  <c r="C29" i="18"/>
  <c r="E55" i="2" s="1"/>
  <c r="G21" i="2"/>
  <c r="F21" i="2"/>
  <c r="E21" i="2"/>
  <c r="F14" i="18"/>
  <c r="E13" i="17"/>
  <c r="G20" i="2" s="1"/>
  <c r="D13" i="17"/>
  <c r="F20" i="2" s="1"/>
  <c r="F9" i="17"/>
  <c r="E22" i="16"/>
  <c r="G54" i="2" s="1"/>
  <c r="D22" i="16"/>
  <c r="F54" i="2" s="1"/>
  <c r="G19" i="2"/>
  <c r="E6" i="15"/>
  <c r="E8" i="15" s="1"/>
  <c r="G18" i="2" s="1"/>
  <c r="D6" i="15"/>
  <c r="D8" i="15" s="1"/>
  <c r="F18" i="2" s="1"/>
  <c r="C6" i="15"/>
  <c r="C8" i="15" s="1"/>
  <c r="E18" i="2" s="1"/>
  <c r="F62" i="2" l="1"/>
  <c r="H62" i="2" s="1"/>
  <c r="F16" i="32"/>
  <c r="H59" i="2"/>
  <c r="C88" i="23"/>
  <c r="E26" i="2" s="1"/>
  <c r="C11" i="10"/>
  <c r="E22" i="2" s="1"/>
  <c r="H61" i="2"/>
  <c r="H60" i="2"/>
  <c r="H57" i="2"/>
  <c r="H66" i="2"/>
  <c r="C29" i="30"/>
  <c r="E35" i="2" s="1"/>
  <c r="E11" i="10"/>
  <c r="H55" i="2"/>
  <c r="H21" i="2"/>
  <c r="H54" i="2"/>
  <c r="C30" i="29"/>
  <c r="E36" i="2" s="1"/>
  <c r="H65" i="2"/>
  <c r="H20" i="2"/>
  <c r="H18" i="2"/>
  <c r="H64" i="2"/>
  <c r="G56" i="2"/>
  <c r="F19" i="2"/>
  <c r="H19" i="2" s="1"/>
  <c r="E32" i="2"/>
  <c r="C12" i="22"/>
  <c r="E27" i="2" s="1"/>
  <c r="F17" i="28"/>
  <c r="F11" i="28"/>
  <c r="F30" i="29"/>
  <c r="F37" i="29"/>
  <c r="F37" i="30"/>
  <c r="F6" i="31"/>
  <c r="D8" i="31"/>
  <c r="F34" i="2" s="1"/>
  <c r="H34" i="2" s="1"/>
  <c r="C9" i="32"/>
  <c r="E33" i="2" s="1"/>
  <c r="F9" i="32"/>
  <c r="F33" i="33"/>
  <c r="F21" i="33"/>
  <c r="F32" i="2"/>
  <c r="H32" i="2" s="1"/>
  <c r="F5" i="35"/>
  <c r="D7" i="35"/>
  <c r="F30" i="2" s="1"/>
  <c r="H30" i="2" s="1"/>
  <c r="C30" i="20"/>
  <c r="E29" i="2" s="1"/>
  <c r="F38" i="20"/>
  <c r="F20" i="22"/>
  <c r="F12" i="22"/>
  <c r="F86" i="23"/>
  <c r="F103" i="23"/>
  <c r="F88" i="23"/>
  <c r="C15" i="24"/>
  <c r="E25" i="2" s="1"/>
  <c r="F15" i="24"/>
  <c r="C13" i="25"/>
  <c r="E24" i="2" s="1"/>
  <c r="F155" i="26"/>
  <c r="F137" i="26"/>
  <c r="F11" i="34"/>
  <c r="F5" i="32"/>
  <c r="F29" i="30"/>
  <c r="F26" i="29"/>
  <c r="D30" i="20"/>
  <c r="F8" i="22"/>
  <c r="F68" i="23"/>
  <c r="F7" i="24"/>
  <c r="F13" i="25"/>
  <c r="F7" i="10"/>
  <c r="G22" i="2"/>
  <c r="H22" i="2" s="1"/>
  <c r="F11" i="10"/>
  <c r="F29" i="18"/>
  <c r="F15" i="18"/>
  <c r="F23" i="18"/>
  <c r="F6" i="15"/>
  <c r="E8" i="14"/>
  <c r="E13" i="14"/>
  <c r="C13" i="14"/>
  <c r="D18" i="13"/>
  <c r="F53" i="2" s="1"/>
  <c r="E18" i="13"/>
  <c r="G53" i="2" s="1"/>
  <c r="C18" i="13"/>
  <c r="E53" i="2" s="1"/>
  <c r="E8" i="13"/>
  <c r="E10" i="13" s="1"/>
  <c r="G16" i="2" s="1"/>
  <c r="D10" i="13"/>
  <c r="F16" i="2" s="1"/>
  <c r="E36" i="12"/>
  <c r="G52" i="2" s="1"/>
  <c r="D36" i="12"/>
  <c r="F52" i="2" s="1"/>
  <c r="C36" i="12"/>
  <c r="E52" i="2" s="1"/>
  <c r="E16" i="12"/>
  <c r="C16" i="12"/>
  <c r="F12" i="12"/>
  <c r="F11" i="12"/>
  <c r="F10" i="12"/>
  <c r="F8" i="12"/>
  <c r="F7" i="12"/>
  <c r="F5" i="12"/>
  <c r="F4" i="12"/>
  <c r="F51" i="2"/>
  <c r="F10" i="11"/>
  <c r="F5" i="11"/>
  <c r="F8" i="11"/>
  <c r="F23" i="11"/>
  <c r="E13" i="11"/>
  <c r="C13" i="11"/>
  <c r="E7" i="5"/>
  <c r="G13" i="2" s="1"/>
  <c r="D5" i="5"/>
  <c r="D7" i="5" s="1"/>
  <c r="F13" i="2" s="1"/>
  <c r="E20" i="9"/>
  <c r="E22" i="9" s="1"/>
  <c r="D20" i="9"/>
  <c r="D22" i="9" s="1"/>
  <c r="C20" i="9"/>
  <c r="C22" i="9" s="1"/>
  <c r="C14" i="19"/>
  <c r="E39" i="2" s="1"/>
  <c r="C13" i="17"/>
  <c r="E20" i="2" s="1"/>
  <c r="F8" i="17"/>
  <c r="F5" i="17"/>
  <c r="C22" i="16"/>
  <c r="E54" i="2" s="1"/>
  <c r="F12" i="16"/>
  <c r="E19" i="2"/>
  <c r="F10" i="16"/>
  <c r="F9" i="16"/>
  <c r="F7" i="16"/>
  <c r="F6" i="16"/>
  <c r="F5" i="15"/>
  <c r="F4" i="15"/>
  <c r="C8" i="14"/>
  <c r="F7" i="14"/>
  <c r="F6" i="14"/>
  <c r="F4" i="14"/>
  <c r="C8" i="13"/>
  <c r="C10" i="13" s="1"/>
  <c r="E16" i="2" s="1"/>
  <c r="F7" i="13"/>
  <c r="F6" i="13"/>
  <c r="F5" i="13"/>
  <c r="F4" i="13"/>
  <c r="G51" i="2"/>
  <c r="E51" i="2"/>
  <c r="C8" i="11"/>
  <c r="F7" i="8"/>
  <c r="F8" i="8"/>
  <c r="F9" i="8"/>
  <c r="F10" i="8"/>
  <c r="E12" i="8"/>
  <c r="G11" i="2" s="1"/>
  <c r="C11" i="8"/>
  <c r="F8" i="7"/>
  <c r="D9" i="7"/>
  <c r="F9" i="7" s="1"/>
  <c r="D7" i="7"/>
  <c r="D5" i="7"/>
  <c r="C9" i="7"/>
  <c r="G10" i="2"/>
  <c r="C5" i="7"/>
  <c r="F17" i="6"/>
  <c r="F16" i="6"/>
  <c r="F15" i="6"/>
  <c r="F14" i="6"/>
  <c r="F13" i="6"/>
  <c r="E8" i="6"/>
  <c r="E20" i="6"/>
  <c r="G49" i="2" s="1"/>
  <c r="D20" i="6"/>
  <c r="F49" i="2" s="1"/>
  <c r="C20" i="6"/>
  <c r="E49" i="2" s="1"/>
  <c r="F6" i="6"/>
  <c r="C8" i="6"/>
  <c r="E9" i="2" s="1"/>
  <c r="F4" i="6"/>
  <c r="F44" i="4"/>
  <c r="F45" i="4"/>
  <c r="F46" i="4"/>
  <c r="F48" i="4"/>
  <c r="F49" i="4"/>
  <c r="F52" i="4"/>
  <c r="D59" i="4"/>
  <c r="F48" i="2" s="1"/>
  <c r="E59" i="4"/>
  <c r="G48" i="2" s="1"/>
  <c r="C59" i="4"/>
  <c r="E48" i="2" s="1"/>
  <c r="F36" i="4"/>
  <c r="D37" i="4"/>
  <c r="F37" i="4" s="1"/>
  <c r="D28" i="4"/>
  <c r="D26" i="4"/>
  <c r="C37" i="4"/>
  <c r="E39" i="4"/>
  <c r="F19" i="9"/>
  <c r="E19" i="8"/>
  <c r="G50" i="2" s="1"/>
  <c r="D19" i="8"/>
  <c r="F50" i="2" s="1"/>
  <c r="C19" i="8"/>
  <c r="E50" i="2" s="1"/>
  <c r="F4" i="8"/>
  <c r="C7" i="7"/>
  <c r="F6" i="7"/>
  <c r="C5" i="5"/>
  <c r="C7" i="5" s="1"/>
  <c r="E13" i="2" s="1"/>
  <c r="F4" i="5"/>
  <c r="G7" i="2"/>
  <c r="C6" i="3"/>
  <c r="C10" i="3" s="1"/>
  <c r="E7" i="2" s="1"/>
  <c r="D6" i="3"/>
  <c r="C28" i="4"/>
  <c r="F27" i="4"/>
  <c r="C26" i="4"/>
  <c r="F25" i="4"/>
  <c r="F21" i="4"/>
  <c r="F20" i="4"/>
  <c r="F19" i="4"/>
  <c r="F18" i="4"/>
  <c r="F17" i="4"/>
  <c r="F16" i="4"/>
  <c r="F15" i="4"/>
  <c r="F14" i="4"/>
  <c r="F13" i="4"/>
  <c r="F12" i="4"/>
  <c r="F11" i="4"/>
  <c r="F10" i="4"/>
  <c r="F7" i="4"/>
  <c r="F5" i="3"/>
  <c r="F4" i="3"/>
  <c r="D71" i="1"/>
  <c r="E71" i="1"/>
  <c r="G47" i="2" s="1"/>
  <c r="C71" i="1"/>
  <c r="E47" i="2" s="1"/>
  <c r="C15" i="14" l="1"/>
  <c r="F6" i="3"/>
  <c r="D10" i="3"/>
  <c r="F7" i="35"/>
  <c r="E15" i="14"/>
  <c r="C25" i="12"/>
  <c r="F16" i="12"/>
  <c r="E25" i="12"/>
  <c r="G15" i="2" s="1"/>
  <c r="F8" i="31"/>
  <c r="F30" i="20"/>
  <c r="F29" i="2"/>
  <c r="H29" i="2" s="1"/>
  <c r="E17" i="2"/>
  <c r="C33" i="11"/>
  <c r="E14" i="2" s="1"/>
  <c r="F12" i="2"/>
  <c r="E12" i="2"/>
  <c r="C10" i="7"/>
  <c r="E10" i="2" s="1"/>
  <c r="D10" i="7"/>
  <c r="F10" i="2" s="1"/>
  <c r="H10" i="2" s="1"/>
  <c r="F28" i="4"/>
  <c r="D39" i="4"/>
  <c r="F8" i="2" s="1"/>
  <c r="C39" i="4"/>
  <c r="E8" i="2" s="1"/>
  <c r="F25" i="33"/>
  <c r="E69" i="2"/>
  <c r="F8" i="14"/>
  <c r="G69" i="2"/>
  <c r="G72" i="2" s="1"/>
  <c r="G8" i="2"/>
  <c r="F8" i="13"/>
  <c r="E33" i="11"/>
  <c r="G14" i="2" s="1"/>
  <c r="H49" i="2"/>
  <c r="H51" i="2"/>
  <c r="H16" i="2"/>
  <c r="H48" i="2"/>
  <c r="H52" i="2"/>
  <c r="H13" i="2"/>
  <c r="H50" i="2"/>
  <c r="H53" i="2"/>
  <c r="E15" i="2"/>
  <c r="F57" i="4"/>
  <c r="F71" i="1"/>
  <c r="F47" i="2"/>
  <c r="F69" i="2" s="1"/>
  <c r="F54" i="4"/>
  <c r="F43" i="11"/>
  <c r="F14" i="2"/>
  <c r="D14" i="19"/>
  <c r="F39" i="2" s="1"/>
  <c r="H39" i="2" s="1"/>
  <c r="F13" i="17"/>
  <c r="F22" i="16"/>
  <c r="F8" i="15"/>
  <c r="F17" i="2"/>
  <c r="G17" i="2"/>
  <c r="F18" i="13"/>
  <c r="F36" i="12"/>
  <c r="F13" i="11"/>
  <c r="F20" i="9"/>
  <c r="F11" i="17"/>
  <c r="F14" i="16"/>
  <c r="F10" i="13"/>
  <c r="F26" i="11"/>
  <c r="D12" i="8"/>
  <c r="F11" i="8"/>
  <c r="C12" i="8"/>
  <c r="E11" i="2" s="1"/>
  <c r="F19" i="8"/>
  <c r="D8" i="6"/>
  <c r="F9" i="2" s="1"/>
  <c r="G9" i="2"/>
  <c r="F20" i="6"/>
  <c r="F59" i="4"/>
  <c r="F7" i="7"/>
  <c r="F7" i="5"/>
  <c r="F5" i="5"/>
  <c r="F7" i="2"/>
  <c r="H7" i="2" s="1"/>
  <c r="F26" i="4"/>
  <c r="F10" i="7" l="1"/>
  <c r="F15" i="14"/>
  <c r="F10" i="3"/>
  <c r="H17" i="2"/>
  <c r="H14" i="2"/>
  <c r="F22" i="9"/>
  <c r="G12" i="2"/>
  <c r="H12" i="2" s="1"/>
  <c r="H9" i="2"/>
  <c r="H47" i="2"/>
  <c r="H8" i="2"/>
  <c r="F12" i="8"/>
  <c r="F11" i="2"/>
  <c r="H11" i="2" s="1"/>
  <c r="F33" i="11"/>
  <c r="F25" i="12"/>
  <c r="F15" i="2"/>
  <c r="H15" i="2" s="1"/>
  <c r="F8" i="6"/>
  <c r="F39" i="4"/>
  <c r="F42" i="1" l="1"/>
  <c r="F43" i="1"/>
  <c r="F44" i="1"/>
  <c r="F45" i="1"/>
  <c r="F47" i="1"/>
  <c r="F49" i="1"/>
  <c r="F52" i="1"/>
  <c r="F7" i="1"/>
  <c r="F8" i="1"/>
  <c r="F9" i="1"/>
  <c r="F11" i="1"/>
  <c r="F12" i="1"/>
  <c r="F14" i="1"/>
  <c r="F15" i="1"/>
  <c r="F18" i="1"/>
  <c r="F20" i="1"/>
  <c r="F21" i="1"/>
  <c r="F22" i="1"/>
  <c r="F23" i="1"/>
  <c r="F24" i="1"/>
  <c r="F25" i="1"/>
  <c r="F26" i="1"/>
  <c r="F2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" i="1"/>
  <c r="G6" i="2"/>
  <c r="D48" i="1"/>
  <c r="C48" i="1"/>
  <c r="C13" i="1"/>
  <c r="G40" i="2" l="1"/>
  <c r="G43" i="2" s="1"/>
  <c r="C59" i="1"/>
  <c r="E6" i="2" s="1"/>
  <c r="E40" i="2" s="1"/>
  <c r="D59" i="1"/>
  <c r="F13" i="1"/>
  <c r="F48" i="1"/>
  <c r="F55" i="1"/>
  <c r="F59" i="1" l="1"/>
  <c r="F6" i="2"/>
  <c r="H6" i="2" l="1"/>
  <c r="F40" i="2"/>
  <c r="H40" i="2" s="1"/>
  <c r="H69" i="2"/>
</calcChain>
</file>

<file path=xl/sharedStrings.xml><?xml version="1.0" encoding="utf-8"?>
<sst xmlns="http://schemas.openxmlformats.org/spreadsheetml/2006/main" count="1643" uniqueCount="732">
  <si>
    <t>011130</t>
  </si>
  <si>
    <t>Önkormányzatok és önkormányzati hivatalok jogalkotó és általános igazgatási tevékenysége</t>
  </si>
  <si>
    <t>K1101</t>
  </si>
  <si>
    <t>Megnevezés</t>
  </si>
  <si>
    <t>Eredeti ei.</t>
  </si>
  <si>
    <t xml:space="preserve">Módosított ei. </t>
  </si>
  <si>
    <t>Teljesítés</t>
  </si>
  <si>
    <t>Teljesítés %-a</t>
  </si>
  <si>
    <t>K1113</t>
  </si>
  <si>
    <t>2 fő bankszámla hozzájárulása</t>
  </si>
  <si>
    <t>K121</t>
  </si>
  <si>
    <t xml:space="preserve">Választott tisztségviselők juttatásai </t>
  </si>
  <si>
    <t>K123</t>
  </si>
  <si>
    <t>Projekt hiánypótlásokkal kapcs. megbízási díj keret</t>
  </si>
  <si>
    <t>Reprezentációs kiadások</t>
  </si>
  <si>
    <t>K1</t>
  </si>
  <si>
    <t>Személyi juttatások összesen</t>
  </si>
  <si>
    <t>K2</t>
  </si>
  <si>
    <t>Munkaadót terhelő járulékok és szociális hj. adó</t>
  </si>
  <si>
    <t>KIADÁSOK</t>
  </si>
  <si>
    <t>K312</t>
  </si>
  <si>
    <t>Irodaszer, nyomtatvány</t>
  </si>
  <si>
    <t>Gépkocsik üzemanyag költsége</t>
  </si>
  <si>
    <t>Egyéb készletbeszerzés</t>
  </si>
  <si>
    <t>Szerviz anyagköltség- személygépkocsik</t>
  </si>
  <si>
    <t>K321</t>
  </si>
  <si>
    <t>Adatvédelmi feladatok ellátása (Közinformatika Kft.)</t>
  </si>
  <si>
    <t>IBF szolgáltatás díja (Közinformatika Kft.)</t>
  </si>
  <si>
    <t>K322</t>
  </si>
  <si>
    <t>K334</t>
  </si>
  <si>
    <t>K336</t>
  </si>
  <si>
    <t xml:space="preserve">Ügyvédi díj </t>
  </si>
  <si>
    <t>Belső ellenőri szolgáltatás igénybevétele</t>
  </si>
  <si>
    <t>Kintlévőségek behajtásának költsége</t>
  </si>
  <si>
    <t>Foglalkozás eü. szolg. 4 fő</t>
  </si>
  <si>
    <t>Közjegyzői díj (aláírás címpéldání)</t>
  </si>
  <si>
    <t>K337</t>
  </si>
  <si>
    <t>Postai közreműködési díj, posta ktg.</t>
  </si>
  <si>
    <t>Gépjármű mosatás, gumiszerelés</t>
  </si>
  <si>
    <t>Bankszámla költség</t>
  </si>
  <si>
    <t>Járművek kötelező biztosítása</t>
  </si>
  <si>
    <t>Egyéb szolgáltatási kiadások</t>
  </si>
  <si>
    <t>K341</t>
  </si>
  <si>
    <t>Belföldi kiküldetés</t>
  </si>
  <si>
    <t>K351</t>
  </si>
  <si>
    <t>Műk. c. előzetesen felszámított Áfa</t>
  </si>
  <si>
    <t>K352</t>
  </si>
  <si>
    <t>Fizetendő Áfa</t>
  </si>
  <si>
    <t>K355</t>
  </si>
  <si>
    <t>Autópály díj, autópálya matrica</t>
  </si>
  <si>
    <t>Parkolási díj</t>
  </si>
  <si>
    <t>Földhivatali eljárási díj</t>
  </si>
  <si>
    <t>K3</t>
  </si>
  <si>
    <t>Dologi kiadások összesen:</t>
  </si>
  <si>
    <t>Városgazda Kft. támogatás (központi irányítási fel.)</t>
  </si>
  <si>
    <t>K5</t>
  </si>
  <si>
    <t>Egyéb működési c. kiadások összesen</t>
  </si>
  <si>
    <t>KIADÁSOK MINDÖSSZESEN:</t>
  </si>
  <si>
    <t>BEVÉTELEK</t>
  </si>
  <si>
    <t>Jánoshalma Város Önkormányzata</t>
  </si>
  <si>
    <t>Kormányzati funkció</t>
  </si>
  <si>
    <t>Önkormányzatok és önk-i hivatalok jogalkotói és általános igazgatási tevékenysége</t>
  </si>
  <si>
    <t>013320</t>
  </si>
  <si>
    <t>Köztemető-fenntartás és - működtetés</t>
  </si>
  <si>
    <t>013350</t>
  </si>
  <si>
    <t>Önk-i vagyonnal való gazdálkodással kapcs. feladatok</t>
  </si>
  <si>
    <t xml:space="preserve">018020 </t>
  </si>
  <si>
    <t>Központi költségvetési befizetések</t>
  </si>
  <si>
    <t>018030</t>
  </si>
  <si>
    <t>Támogatási célú finanszírozási műveletek</t>
  </si>
  <si>
    <t>031060</t>
  </si>
  <si>
    <t>Bűnmegelőzés</t>
  </si>
  <si>
    <t>032020</t>
  </si>
  <si>
    <t>Tűz- és katasztrófavédelmi tevékenységek</t>
  </si>
  <si>
    <t>041232</t>
  </si>
  <si>
    <t>Start-munka program - Téli közfoglalkoztatás</t>
  </si>
  <si>
    <t>041233</t>
  </si>
  <si>
    <t>Hosszabb időtartamú közfoglalkoztatás</t>
  </si>
  <si>
    <t>042130</t>
  </si>
  <si>
    <t>Növénytermesztés, állattenyésztés és kapcsolódó szolgáltatások</t>
  </si>
  <si>
    <t>045160</t>
  </si>
  <si>
    <t>Közutak, hidak, alagutak üzemeltetése, fenntartása</t>
  </si>
  <si>
    <t>047410</t>
  </si>
  <si>
    <t>Ár- és belvízvédelemmel összefüggő tevékenységek</t>
  </si>
  <si>
    <t>049010</t>
  </si>
  <si>
    <t>Máshova nem sorolt gazdasági ügyek</t>
  </si>
  <si>
    <t>051030</t>
  </si>
  <si>
    <t>Nem veszélyes (települési) hulladék vegyes begyűjtése, szállítása, átrakása</t>
  </si>
  <si>
    <t>051060</t>
  </si>
  <si>
    <t>Veszélyes hulladék kezelése, ártalmatlanítása</t>
  </si>
  <si>
    <t>052080</t>
  </si>
  <si>
    <t>Szennyvízcsatorna építése, fenntartása, üzemeltetése</t>
  </si>
  <si>
    <t>062020</t>
  </si>
  <si>
    <t>Településfejlesztési projektek és támogatásuk</t>
  </si>
  <si>
    <t>064010</t>
  </si>
  <si>
    <t>Közvilágítás</t>
  </si>
  <si>
    <t>066010</t>
  </si>
  <si>
    <t>Zöldterület-kezelés</t>
  </si>
  <si>
    <t>066020</t>
  </si>
  <si>
    <t>Város-, községgazdálkodási egyéb szolgáltatások</t>
  </si>
  <si>
    <t>072111</t>
  </si>
  <si>
    <t>Háziorvosi alapellátás</t>
  </si>
  <si>
    <t>072311</t>
  </si>
  <si>
    <t>Fogorvosi alapellátás</t>
  </si>
  <si>
    <t>074031</t>
  </si>
  <si>
    <t>Család- és nővédelmi eü. gondozás</t>
  </si>
  <si>
    <t>081030</t>
  </si>
  <si>
    <t>Sportlétesítmények, edzőtáborok működtetése és fejlesztése</t>
  </si>
  <si>
    <t>082061</t>
  </si>
  <si>
    <t>Múzeumi, gyűjteményi tevékenység</t>
  </si>
  <si>
    <t>096015</t>
  </si>
  <si>
    <t>Gyermekétkeztetés köznevelési intézményben</t>
  </si>
  <si>
    <t>102023</t>
  </si>
  <si>
    <t>Időskorúak tartós bentlakásos ellátása</t>
  </si>
  <si>
    <t>104037</t>
  </si>
  <si>
    <t>Intézményen kívüli gyermekétkeztetés</t>
  </si>
  <si>
    <t>107051</t>
  </si>
  <si>
    <t>Szociális étkeztetés</t>
  </si>
  <si>
    <t>107052</t>
  </si>
  <si>
    <t>Házi segítségnyújtás</t>
  </si>
  <si>
    <t>107060</t>
  </si>
  <si>
    <t xml:space="preserve">Egyéb szociális pénzbeli és természetbeni ellátások, támogatások </t>
  </si>
  <si>
    <t>107080</t>
  </si>
  <si>
    <t>Esélyegyenlőség elősegítését célzó tevékenységek és programok</t>
  </si>
  <si>
    <t>Fejezeti és általános tartalékok elszámolása</t>
  </si>
  <si>
    <t>Önkormányzat kiadásai összesen:</t>
  </si>
  <si>
    <t xml:space="preserve"> Eredeti előirányzat</t>
  </si>
  <si>
    <t>Módosított előirányzat</t>
  </si>
  <si>
    <t>Önkormányzat bevételei összesen:</t>
  </si>
  <si>
    <t>B411</t>
  </si>
  <si>
    <t>Eredeti előirányzatként nem tervezhető bevételek</t>
  </si>
  <si>
    <t>BEVÉTELEK MINDÖSSZESEN:</t>
  </si>
  <si>
    <t>Köztemető-fenntartás és működtetés</t>
  </si>
  <si>
    <t>Köztemető-fenntartással kapcsolatos feladatok</t>
  </si>
  <si>
    <t>Fecske házi lakások karbantartási anyagai</t>
  </si>
  <si>
    <t>Egyéb önkormányzati lakások karbantartási anyagai</t>
  </si>
  <si>
    <t>Egyéb önkormányzati ingatlanok karbantartási anyagai</t>
  </si>
  <si>
    <t>Bajai u. 4. riasztó</t>
  </si>
  <si>
    <t>K3311</t>
  </si>
  <si>
    <t>Önkormányzati ingatlanok - villamos energia szolg. díja</t>
  </si>
  <si>
    <t>K3312</t>
  </si>
  <si>
    <t>Önkormányzati ingatlanok - gázenergia szolg. díja</t>
  </si>
  <si>
    <t>K3314</t>
  </si>
  <si>
    <t>Önkormányzati ingatlanok - víz- és csatorna díja</t>
  </si>
  <si>
    <t>Fecske házi lakások karbantartása</t>
  </si>
  <si>
    <t>Egyéb önkormányzati lakások karbantartása</t>
  </si>
  <si>
    <t>Egyéb önkormányzati ingatlanok karbantartása</t>
  </si>
  <si>
    <t>K335</t>
  </si>
  <si>
    <t>Kéményseprés, szemétszállítás, tűzvédelmi felülvizsg.</t>
  </si>
  <si>
    <t>Molnár J. u. 3. fenntartási ktg. átalány - Városgazda Kft.</t>
  </si>
  <si>
    <t>Kossuth. u. 5 szemétszállítás, egyéb ktg.</t>
  </si>
  <si>
    <t>Önkormányzati vagyonbiztosítási díj</t>
  </si>
  <si>
    <t>Városgazda Kft. támogatás (karbantartási fel.)</t>
  </si>
  <si>
    <t>K71</t>
  </si>
  <si>
    <t>K74</t>
  </si>
  <si>
    <t>K7</t>
  </si>
  <si>
    <t>Felújítási kiadások</t>
  </si>
  <si>
    <t>K89</t>
  </si>
  <si>
    <t>Társasházak felújítási alap fizetési kötelezettség</t>
  </si>
  <si>
    <t>K8</t>
  </si>
  <si>
    <t>Egyéb felhalmozási c. kiadások összesen</t>
  </si>
  <si>
    <t>Önkormányzati vagyonnal való gazdálkodással kapcs. feladatok</t>
  </si>
  <si>
    <t>B402</t>
  </si>
  <si>
    <t>Ingatlanok bérleti díja</t>
  </si>
  <si>
    <t>Fecske házi lakások lakbérbevétele</t>
  </si>
  <si>
    <t>Egyéb önkormányzati lakások lakbérbevétele</t>
  </si>
  <si>
    <t>B403</t>
  </si>
  <si>
    <t>B404</t>
  </si>
  <si>
    <t>Gyermek- és Ifjúsági tábor ingatlan használati díja</t>
  </si>
  <si>
    <t>Földbérleti díjak</t>
  </si>
  <si>
    <t>B406</t>
  </si>
  <si>
    <t>Kiszámlázott Áfa</t>
  </si>
  <si>
    <t>B4</t>
  </si>
  <si>
    <t>Működési bevételek összesen:</t>
  </si>
  <si>
    <t>B54</t>
  </si>
  <si>
    <t>Kunság-Halas Hulladékg. Nonpr. Kft. részesedés értékes.</t>
  </si>
  <si>
    <t>Felhalmozási bevételek összesen:</t>
  </si>
  <si>
    <t>018010</t>
  </si>
  <si>
    <t>Önkormányzatok elszámolásai a központi költségvetéssel</t>
  </si>
  <si>
    <t>B111</t>
  </si>
  <si>
    <t xml:space="preserve">Helyi önkormányzatok működésének általános támogatása </t>
  </si>
  <si>
    <t>B112</t>
  </si>
  <si>
    <t>Települési önkormányzatok egyes köznevelési feladatainak támogatása</t>
  </si>
  <si>
    <t>B1131</t>
  </si>
  <si>
    <t xml:space="preserve">Települési önkormányzatok egyes szociális és gyermekjóléti feladatainak támogatása </t>
  </si>
  <si>
    <t>B1132</t>
  </si>
  <si>
    <t>Települési önkormányzatok gyermekétkeztetési feladatainak támogatása</t>
  </si>
  <si>
    <t>B114</t>
  </si>
  <si>
    <t>Települési önkormányzatok kulturális feladatainak támogatása</t>
  </si>
  <si>
    <t>018020</t>
  </si>
  <si>
    <t>K502</t>
  </si>
  <si>
    <t>Szolidaritási hozzájárulás</t>
  </si>
  <si>
    <t>K914</t>
  </si>
  <si>
    <t>ÁH-on belüli megelelőlegezések visszafizetése</t>
  </si>
  <si>
    <t>K9</t>
  </si>
  <si>
    <t>Finanszírozási kiadások</t>
  </si>
  <si>
    <t>Kunfehértói tábor karbantartásához támogatás</t>
  </si>
  <si>
    <t>K915</t>
  </si>
  <si>
    <t>Intézményfinanszírozás - Polgármesteri Hivatal</t>
  </si>
  <si>
    <t>Intézményfinanszírozás - Óvoda</t>
  </si>
  <si>
    <t>Intézményfinanszírozás - Imre Z. Műv. Központ</t>
  </si>
  <si>
    <t>Intézményfinanszírozás összesen:</t>
  </si>
  <si>
    <t>B8131</t>
  </si>
  <si>
    <t>Előző év költségvetési maradványának igénybevétele</t>
  </si>
  <si>
    <t>K506</t>
  </si>
  <si>
    <t>Polgárőrség támogatása</t>
  </si>
  <si>
    <t>K512</t>
  </si>
  <si>
    <t>Tűz-. és katasztrófavédelmi tevékenységek</t>
  </si>
  <si>
    <t>70311/30/00178 Start pr. - bér</t>
  </si>
  <si>
    <t>70311/30/00178 Start pr. - betegszabadság</t>
  </si>
  <si>
    <t>70311/30/00178 Start pr. - járulék</t>
  </si>
  <si>
    <t>70311/30/00178 Start pr. - táppénz</t>
  </si>
  <si>
    <t>Egyéb szolgáltatási kiadások-00178</t>
  </si>
  <si>
    <t>Műk. c. előzetesen felszámított Áfa-00178</t>
  </si>
  <si>
    <t>B16</t>
  </si>
  <si>
    <t>Egyéb működési bevételek (kerekítés)</t>
  </si>
  <si>
    <t>Műtrágya, vegyszer, vetőmag</t>
  </si>
  <si>
    <t>Mg- i gépi bérmunkák</t>
  </si>
  <si>
    <t>MVH Kárenyhítési hozzájárulás</t>
  </si>
  <si>
    <t>B401</t>
  </si>
  <si>
    <t>Terményértékesítés bevétele</t>
  </si>
  <si>
    <t>Agrártámogatások</t>
  </si>
  <si>
    <t>Lakossági járdajavítás anyaga</t>
  </si>
  <si>
    <t>Felújítási c. előzetesen felszámított Áfa</t>
  </si>
  <si>
    <t>Felújítások összesen</t>
  </si>
  <si>
    <t xml:space="preserve">Ár- és belvízvédelemmel összefüggő tevékenységek </t>
  </si>
  <si>
    <t>Belvíz elleni védekezés</t>
  </si>
  <si>
    <t>TOP-1-1-1….00006 Pr. fenntartási jelentés elkészítés díja</t>
  </si>
  <si>
    <t>TOP-1-1-2….00005 Pr. fenntartási jelentés elkészítés díja</t>
  </si>
  <si>
    <t>K61</t>
  </si>
  <si>
    <t>K62</t>
  </si>
  <si>
    <t>K67</t>
  </si>
  <si>
    <t>K6</t>
  </si>
  <si>
    <t>Beruházások összesen</t>
  </si>
  <si>
    <t>50 m2 terület bérleti díj - Városgazda Kft.</t>
  </si>
  <si>
    <t>Hűtőkamra bérleti díj - Bácska Gyöngye Mg. Szövetkezet</t>
  </si>
  <si>
    <t>Gyümölcsfeldolgozó és gépsor bérleti díj</t>
  </si>
  <si>
    <t>Közterületen összegyűjtött hulladék elszállítása</t>
  </si>
  <si>
    <t>Egyéb hulladék elszállítás (konténeres)</t>
  </si>
  <si>
    <t>Állati hullatároló áramdíj továbbszla- Városgazda Kft-nek</t>
  </si>
  <si>
    <t>Állati hullatároló üzemeltetési díja- Városgazda Kft</t>
  </si>
  <si>
    <t>Kiszámlázott termékek és szolgáltatások Áfa-ja</t>
  </si>
  <si>
    <t>Szennyvízcs. házi bekötések - Városgazda Kft.</t>
  </si>
  <si>
    <t>Bankszámla forgalom utáni díj</t>
  </si>
  <si>
    <t>Egyéb felhalm. c. kiadások</t>
  </si>
  <si>
    <t>Csatorna beruh. érdekeltségi hj. visszafizetése</t>
  </si>
  <si>
    <t>B7</t>
  </si>
  <si>
    <t>Egyéb felhalmozási c. átvett pénzeszközök</t>
  </si>
  <si>
    <t>B75</t>
  </si>
  <si>
    <t>Szennyv.cs. beruházás érdekeltségi hj. befizetés</t>
  </si>
  <si>
    <t>K342</t>
  </si>
  <si>
    <t>Szakhatósági díjak önkormányzati beruházás esetén</t>
  </si>
  <si>
    <t>VP6-19-2.1-32-10-21 Életminőség javítását célzó települési fejlesztések - Kamerarendszer kiépítés támogatása</t>
  </si>
  <si>
    <t>B25</t>
  </si>
  <si>
    <t>Közvilágítás áramdíja</t>
  </si>
  <si>
    <t>Közvilágítás korszerűsítés- közbeszerzési eljárás</t>
  </si>
  <si>
    <t>Közvilágítás üzemeltetése, karbantartása</t>
  </si>
  <si>
    <t>Közvilágítás korszerűsítés műszaki szakértelem, műszaki ellenőrzés Áfa</t>
  </si>
  <si>
    <t>Elhanyagolt közterületek gyommentesítése, kaszálása</t>
  </si>
  <si>
    <t>Városgazda Kft. támogatás (közterület fenntartás)</t>
  </si>
  <si>
    <t>Városgazda Kft. támogatás (Sportpálya fenntartás)</t>
  </si>
  <si>
    <t>Város-, községgazdálkodási m.n.s. szolgáltatások</t>
  </si>
  <si>
    <t>Karbantartási anyag</t>
  </si>
  <si>
    <t xml:space="preserve">Buszpályaudvar (Béke tér 14.)  gázdíj </t>
  </si>
  <si>
    <t>Villamos energia díja - Bajai u. Laktanya térfigyelő kamera 4565/28 hrsz.</t>
  </si>
  <si>
    <t>Napelempark áramdíj 4565/7 hrsz.</t>
  </si>
  <si>
    <t>Víz- és csatornadíjak (közkutak vízdíja)</t>
  </si>
  <si>
    <t>K333</t>
  </si>
  <si>
    <t>Földmérés, telekalakítás (évközi)</t>
  </si>
  <si>
    <t>Homokbánya készletfelmérés</t>
  </si>
  <si>
    <t>Ingatlan értékbecslés</t>
  </si>
  <si>
    <t>Homokbánya nyersanyagvagyon adatszolgáltatás ellenjegyzése - Dr. Szanyi János</t>
  </si>
  <si>
    <t>Homokbánya földtani szakértői díj (Áfa mentes)</t>
  </si>
  <si>
    <t>Díszkivilágítás be- és kikapcsolásának költsége</t>
  </si>
  <si>
    <t xml:space="preserve">Tűzvédelmi feladatok ellátása </t>
  </si>
  <si>
    <t xml:space="preserve">Munkavédelmi feladatok ellátása Zsikor Bt.  (a Zsikor Bt. szolg. Áfa mentes!) </t>
  </si>
  <si>
    <t>Földhivatali eljárási díjak</t>
  </si>
  <si>
    <t>Bányajáradék, bányavállalkozói felügyeleti díj  - 1993.évi XLVIII.tv. 43.§ (9.) bek. alapján 0,4%</t>
  </si>
  <si>
    <t xml:space="preserve">Felső-Bácskai Vidékfejlesztési Egyesület éves tagdíj </t>
  </si>
  <si>
    <t>Városgazda Kft. támogatás (városgazd. feladatellátás)</t>
  </si>
  <si>
    <t>Homokbánya műszaki üzemelési terv</t>
  </si>
  <si>
    <t>K64</t>
  </si>
  <si>
    <t>Homokbánya műszaki üzemelési terv Áfa</t>
  </si>
  <si>
    <t>Homokértékesítés bevétele</t>
  </si>
  <si>
    <t>Naperőmű által termelt energia értékesítés bevétele</t>
  </si>
  <si>
    <t>6 db rendelő bérleti díja</t>
  </si>
  <si>
    <t>Közvetített szolgáltatások (programdíj továbbszla)</t>
  </si>
  <si>
    <t>Vérvételi lehetőség biztosításának támogatása</t>
  </si>
  <si>
    <t>Közvetített szolgáltatások ellenértéke</t>
  </si>
  <si>
    <t>2 db rendelő bérleti díja</t>
  </si>
  <si>
    <t>K311</t>
  </si>
  <si>
    <t>Gyógyszer, vegyszer</t>
  </si>
  <si>
    <t>Tű, fecskendő, kötszer….stb.</t>
  </si>
  <si>
    <t>Munkaruha 1 fő részére</t>
  </si>
  <si>
    <t>Internet előfizetés</t>
  </si>
  <si>
    <t>Szoftverátalány (Stefánia program)</t>
  </si>
  <si>
    <t>Informatikai karbantartás</t>
  </si>
  <si>
    <t>Vezetékes telefon, mobil telefon</t>
  </si>
  <si>
    <t>Gépek, berendezések karbantartása, kisjavítása</t>
  </si>
  <si>
    <t>Foglalkozás eü. szolg. 1 fő</t>
  </si>
  <si>
    <t>Postai levél, csomag, távirat</t>
  </si>
  <si>
    <t>Veszélyes hulladék elszállítása, megsemmisítése</t>
  </si>
  <si>
    <t>Védőnők NEAK finanszírozása</t>
  </si>
  <si>
    <t>Védőnők illetménynövelésére tekintettel igényelhető támogatási összeg</t>
  </si>
  <si>
    <t>Városgazda Kft. támogatás (Sportcsarnok támogatása)</t>
  </si>
  <si>
    <t>Villamos energia szolg. díja</t>
  </si>
  <si>
    <t>Gázenergia szolg. díja</t>
  </si>
  <si>
    <t>Víz- és csatorna díja</t>
  </si>
  <si>
    <t>Kéményseprés, tűo. készülékek felülvizsg.</t>
  </si>
  <si>
    <t>1 fő bankszámla hozzájárulása</t>
  </si>
  <si>
    <t>Toner nyomtatóhoz</t>
  </si>
  <si>
    <t>Ebédjegyek beszerzése</t>
  </si>
  <si>
    <t>MenzaSoft program (Gáspár Csaba)</t>
  </si>
  <si>
    <t>K332</t>
  </si>
  <si>
    <t>Vásárolt élelmezés</t>
  </si>
  <si>
    <t>Szállítási költség</t>
  </si>
  <si>
    <t>Egyéb dologi kiadások</t>
  </si>
  <si>
    <t>B405</t>
  </si>
  <si>
    <t>Ellátási díjak</t>
  </si>
  <si>
    <t xml:space="preserve">Szoc. ellátást nyugdíjukból megfizetni nem tudó beutaltak, ellátottak miatti fizetési kötelezettség </t>
  </si>
  <si>
    <t>Szoc. ellátások támogatása (M. Máltai Szeretetszolgálat Egyesület  részére megállapodás alapján)</t>
  </si>
  <si>
    <t>Intézményen kÍvüli gyermekétkeztetés</t>
  </si>
  <si>
    <t>104044</t>
  </si>
  <si>
    <t>Biztos Kezdet Gyerekház</t>
  </si>
  <si>
    <t>Biztos Kezdet Gyerekház támogatása</t>
  </si>
  <si>
    <t>Szociális ágazati összevont pótlék</t>
  </si>
  <si>
    <t>Gumikesztyű, fertőtlenítő</t>
  </si>
  <si>
    <t>Munkaruha 2 fő részére</t>
  </si>
  <si>
    <t>Informatikai rendszer fejlesztése, üzemeltetése</t>
  </si>
  <si>
    <t>"TSZG" program(SZÁM-ADÓ Szolg. Kft.)</t>
  </si>
  <si>
    <t>Foglalkozás eü. szolg.2 fő</t>
  </si>
  <si>
    <t>Továbbképzés költsége</t>
  </si>
  <si>
    <t>Étkeztetés alszámla bankköltsége</t>
  </si>
  <si>
    <t>Ellátottak részére ebéd szállítási díj</t>
  </si>
  <si>
    <t>Továbbképzések utiköltsége</t>
  </si>
  <si>
    <t>Szociális étkeztetés térítési díja</t>
  </si>
  <si>
    <t>Házi gondozás térítési djía</t>
  </si>
  <si>
    <t>2 fő illetménye</t>
  </si>
  <si>
    <t>4 fő bankszámla hozzájárulása</t>
  </si>
  <si>
    <t>Gépjármű használati hozzájárulás</t>
  </si>
  <si>
    <t>Színes tonerek</t>
  </si>
  <si>
    <t>Munkaruha 4 fő részére</t>
  </si>
  <si>
    <t>Informatikai szolgáltatások igénybevétele</t>
  </si>
  <si>
    <t>Telefon előfizetés 4 fő</t>
  </si>
  <si>
    <t>Műk. engedély, kötelező szakértői díj stb.</t>
  </si>
  <si>
    <t>Egyéb szociális pénzbeli és természetbeni ellátások, támogatások</t>
  </si>
  <si>
    <t>K48</t>
  </si>
  <si>
    <t>Települési támogatás</t>
  </si>
  <si>
    <t>Köztemetés</t>
  </si>
  <si>
    <t>Bentlakásos idősotthoni ellátottak támogatása</t>
  </si>
  <si>
    <t>K4</t>
  </si>
  <si>
    <t>Ellátottak pénzbeli jutt. összesen</t>
  </si>
  <si>
    <t>Temetési kölcsön nyújtás</t>
  </si>
  <si>
    <t>B64</t>
  </si>
  <si>
    <t>Temetési kölcsön visszatérülése</t>
  </si>
  <si>
    <t>K513</t>
  </si>
  <si>
    <t>Vis maior tartalék</t>
  </si>
  <si>
    <t>Általános tartalék</t>
  </si>
  <si>
    <t>Célt.: - Nyári diákmunka szoc. hozzájárulási adóra</t>
  </si>
  <si>
    <t>Egyéb műk. c. kiadások összesen</t>
  </si>
  <si>
    <t>900020</t>
  </si>
  <si>
    <t>Önk-ok funkcióra nem sorolható bevételei ÁH-on kívülről - Adóbevételek</t>
  </si>
  <si>
    <t>B311</t>
  </si>
  <si>
    <t>Termőföld bérbead-ból szárm. jöv. utáni SZJA</t>
  </si>
  <si>
    <t>B34</t>
  </si>
  <si>
    <t>Magánszemélyek kommunális adója</t>
  </si>
  <si>
    <t>Telekadó</t>
  </si>
  <si>
    <t>B351</t>
  </si>
  <si>
    <t>Iparűzési adó</t>
  </si>
  <si>
    <t>B36</t>
  </si>
  <si>
    <t>Talajterhelési díj</t>
  </si>
  <si>
    <t>Pótlék (késedelmi)</t>
  </si>
  <si>
    <t>B3</t>
  </si>
  <si>
    <t>Közhatalmi bevételek</t>
  </si>
  <si>
    <t>900060</t>
  </si>
  <si>
    <t>Forgatási és befektetési c. finanszírozási műveletek</t>
  </si>
  <si>
    <t>Forgatási és befektetési célú finanszírozási műveletek</t>
  </si>
  <si>
    <t>B408</t>
  </si>
  <si>
    <t>Kamatbevételek</t>
  </si>
  <si>
    <t>Működési bevételek</t>
  </si>
  <si>
    <t>Dologi kiadások összesen</t>
  </si>
  <si>
    <t>Betegszabadság</t>
  </si>
  <si>
    <t>Kamatjóváírás</t>
  </si>
  <si>
    <t>Alaptev. maradványából képzett tartalék</t>
  </si>
  <si>
    <r>
      <t xml:space="preserve">Egyéb dologi kiadások </t>
    </r>
    <r>
      <rPr>
        <sz val="10"/>
        <color theme="1"/>
        <rFont val="Calibri"/>
        <family val="2"/>
        <charset val="238"/>
        <scheme val="minor"/>
      </rPr>
      <t>(éves klímavédelmi felügyeleti díj)</t>
    </r>
  </si>
  <si>
    <t>egyéb tárgyi eszközök-00178 (lapát, villa, metszóolló)</t>
  </si>
  <si>
    <t>egyéb tárgyi eszközök-00178 Áfa</t>
  </si>
  <si>
    <t>Beruházások</t>
  </si>
  <si>
    <t>Közfoglalkoztatási pr. működési c. támogatása - 00178</t>
  </si>
  <si>
    <t>Közfoglalkoztatási pr. felhalm. c. támogatása - 00178</t>
  </si>
  <si>
    <t>B407</t>
  </si>
  <si>
    <t>Visszaigényelhető Áfa</t>
  </si>
  <si>
    <t>B4082</t>
  </si>
  <si>
    <t>B410</t>
  </si>
  <si>
    <t>Biztosító által fizetett kártérítés</t>
  </si>
  <si>
    <t>Egyéb működési bevételek</t>
  </si>
  <si>
    <t>Közterületek bérlete, eseti közterület haszn. díj</t>
  </si>
  <si>
    <t>Közüzemi díj visszatérítés, egyéb műk. bev.</t>
  </si>
  <si>
    <t>B52</t>
  </si>
  <si>
    <t>Ingatlanok értékesítése</t>
  </si>
  <si>
    <t>B5</t>
  </si>
  <si>
    <t>Üzemanyag jövedéki adó visszatérítés</t>
  </si>
  <si>
    <t>Lekötött betét megszüntetése</t>
  </si>
  <si>
    <t>Ellenőrző szám bevételek:</t>
  </si>
  <si>
    <t>Ellenőrző szám kiadások:</t>
  </si>
  <si>
    <t>Irodaszer, nyomtatvány, tonerek</t>
  </si>
  <si>
    <t>Igazságügyi szakértő díja</t>
  </si>
  <si>
    <t>K64,67</t>
  </si>
  <si>
    <t>Dr. Dobosné Szűcs Edit - homokbánya műszaki vezetői teendőinek ellátása  bruttó 30.000,-Ft/hó x 12 hó (Áfa mentes!) (Telj.2024.03.26 2023. évi)</t>
  </si>
  <si>
    <t xml:space="preserve">Postai közreműködési díj, posta ktg., </t>
  </si>
  <si>
    <t>TOP_PLUSZ 3.1.3-23 pr. megalapozó dokumentum</t>
  </si>
  <si>
    <t>Pénzeszközök betétként elhelyezése</t>
  </si>
  <si>
    <t>K1109</t>
  </si>
  <si>
    <t>Mester M. munkába járás ktg. térítés ei.</t>
  </si>
  <si>
    <t>TOP PLUSZ 1.2.1…00055 Közösségi fejlesztések pr. ei.</t>
  </si>
  <si>
    <t>TOP PLUSZ 1.1.3…00023 Horgászturizmus fejlesztése Jh-n pr. ei.</t>
  </si>
  <si>
    <t>Személyi juttatások összesen:</t>
  </si>
  <si>
    <t>Tisztítsuk meg az Országot! II. -szolg. kiadások</t>
  </si>
  <si>
    <t>Tisztítsuk meg az Országot! II. -szolg. kiadások Áfa</t>
  </si>
  <si>
    <t>Konténer bérleti díja</t>
  </si>
  <si>
    <t>Egyéb működési célú kiadások összesen:</t>
  </si>
  <si>
    <t>Késedelmi kamat, behajtási költség átalány, hitelezői igény bejelentése, önellenőrzési pótlék</t>
  </si>
  <si>
    <t>E- építési napló (Termelői piac)</t>
  </si>
  <si>
    <t>B65</t>
  </si>
  <si>
    <t>Polgármester, alpolgármester, képviselők illetmény-, tiszteletdíj visszatérítése</t>
  </si>
  <si>
    <t>Illetmények, munkabérek</t>
  </si>
  <si>
    <t>K1102</t>
  </si>
  <si>
    <t>Jutalom</t>
  </si>
  <si>
    <t>K1107</t>
  </si>
  <si>
    <t>Cafeteria juttatás</t>
  </si>
  <si>
    <t>Bankszámla hozzájárulás</t>
  </si>
  <si>
    <t>Bizottsági külső tagok tiszteletdíja</t>
  </si>
  <si>
    <t xml:space="preserve">Foglalkozás eü. szolg. </t>
  </si>
  <si>
    <t>Cégautó adó</t>
  </si>
  <si>
    <t>Ösztöndíj támogatás</t>
  </si>
  <si>
    <t>Tisztítószerek, egyéb készlet beszerzés</t>
  </si>
  <si>
    <t>MÖSZ csatlakozási díj 84/2025(III.27) Kt.</t>
  </si>
  <si>
    <t>Közvetített szolgáltatások (Arany J.u. 13. rezsi)</t>
  </si>
  <si>
    <t>Villamos biztonsági felülvizsgálat (érintésvédelem Arany J. u. 13.)</t>
  </si>
  <si>
    <t>Buszváró épület takarítási szolg.- Városg.Kft.</t>
  </si>
  <si>
    <t>Ingatlan bontás</t>
  </si>
  <si>
    <t>Ingatlanokkal kapcs. egyéb szolgáltatási kiadások</t>
  </si>
  <si>
    <t>Közbiztonsági referens, mezőőr illetménye</t>
  </si>
  <si>
    <t xml:space="preserve">K2 </t>
  </si>
  <si>
    <t>Munkaadót terh. járulékok és szoc. hj. adó</t>
  </si>
  <si>
    <t>Tűzoltóság 2025. évi önkormányzati támogatása</t>
  </si>
  <si>
    <t>üzemeltetési anyag (üzemanyag,) -00178</t>
  </si>
  <si>
    <t>70311/26/00330 - bér</t>
  </si>
  <si>
    <t>70311/26/00331 - bér</t>
  </si>
  <si>
    <t>70311/26/00330 . - betegszabadság</t>
  </si>
  <si>
    <t>70311/26/00331  - betegszabadság</t>
  </si>
  <si>
    <t>70311/26/00330 - járulék</t>
  </si>
  <si>
    <t>70311/26/00331 - járulék</t>
  </si>
  <si>
    <t>Kisfaludí u. telekalakítás dokumentáció (Gabella )</t>
  </si>
  <si>
    <t>TOP-1-1-3….00007 Pr. fenntartási jelentés elkészítés díja</t>
  </si>
  <si>
    <t>Vagyonbiztosítási díj 2025. évre</t>
  </si>
  <si>
    <t xml:space="preserve">Homokhátsági Hulladékg. Kft. 2025. évi fiz. köt. </t>
  </si>
  <si>
    <t>Ebrendészeti telep üzemeltetési anyagai</t>
  </si>
  <si>
    <t>Ebrendészeti telep Weboldal készítés, honlap  üzemeltetés</t>
  </si>
  <si>
    <t>Ebrendészeti telep javítási költség</t>
  </si>
  <si>
    <t>Ebrendészeti telep állatorvosi költség</t>
  </si>
  <si>
    <t>Ebrendészeti telep - felelősség biztosítás</t>
  </si>
  <si>
    <t>Ebrendészeti telep - egyéb rezsi költség</t>
  </si>
  <si>
    <t>Ebrendészeti telep eszközbeszerzések</t>
  </si>
  <si>
    <t>Ebrendészeti telep eszközbeszerzések Áfa</t>
  </si>
  <si>
    <t>Beruházások összesen:</t>
  </si>
  <si>
    <t>K1103</t>
  </si>
  <si>
    <t xml:space="preserve">EKR díj </t>
  </si>
  <si>
    <t xml:space="preserve"> műszaki munkatárs közreműködése</t>
  </si>
  <si>
    <t xml:space="preserve"> műszaki munkatárs közrem. járulék</t>
  </si>
  <si>
    <t>Közbeszerzési szakértő díja (dr. Polyák Csaba)</t>
  </si>
  <si>
    <t>Projekt marketing feladatok kiadása</t>
  </si>
  <si>
    <t>EKR díj Áfa</t>
  </si>
  <si>
    <t>Projekt marketing feladatok kiadása Áfa</t>
  </si>
  <si>
    <t>Kivitelezés, eszközbeszerzés költsége</t>
  </si>
  <si>
    <t>Műszaki dokumentáció készítés</t>
  </si>
  <si>
    <t>Műszaki ellenőrzés költs.</t>
  </si>
  <si>
    <t>Kivitelezés, eszközbeszerzés költsége Áfa</t>
  </si>
  <si>
    <t>Műszaki dokumentáció készítés Áfa</t>
  </si>
  <si>
    <t>Műszaki ellenőrzés költs. Áfa</t>
  </si>
  <si>
    <t>Projekt kiadása összesen:</t>
  </si>
  <si>
    <t>TOP PLUSZ 1.1.1…00001 "Termelői piac felújítása Jánoshalmán" projekt</t>
  </si>
  <si>
    <t>TOP PLUSZ 1.1.3…00023 "Horgászturizmus fejlesztése Jánoshalmán" projekt</t>
  </si>
  <si>
    <t>Beruházás lebonyolítói feladatok, szakmai megvalósítás ktg-e</t>
  </si>
  <si>
    <t>Projekt marketing rendezvény kiadása</t>
  </si>
  <si>
    <t>Beruházás lebony. fel., szakmai megvalósítás Áfa</t>
  </si>
  <si>
    <t>Projekt marketing rendezvény kiadása Áfa</t>
  </si>
  <si>
    <t>Kivitelezés, műszaki ellenőrzés költsége</t>
  </si>
  <si>
    <t>Eszközbeszerzések költsége</t>
  </si>
  <si>
    <t>Kivitelezés, műszaki ellenőrzés költsége Áfa</t>
  </si>
  <si>
    <t>Eszközbeszerzések költsége Áfa</t>
  </si>
  <si>
    <t>TOP PLUSZ 1.2.1…00055  "Közösségi fejlesztések Jánoshalmán" projekt</t>
  </si>
  <si>
    <t>szakmai megvalósítók kiadása, energ.szakért., rehab. szakmérnök stb.</t>
  </si>
  <si>
    <t>közbeszerzési szakértő kiadása (dr. Polyák Csaba)</t>
  </si>
  <si>
    <t>tervezői feladatok (Faddi Rita)</t>
  </si>
  <si>
    <t>egyéb szolgáltatások kiadásai</t>
  </si>
  <si>
    <t>szakmai megvalósítók kiadása Áfa</t>
  </si>
  <si>
    <t>egyéb szolgáltatások kiadásai Áfa</t>
  </si>
  <si>
    <t>Műszaki dokumentáció maradványa (S-TÉR)</t>
  </si>
  <si>
    <t>Műszaki dokumentáció maradványa (S-TÉR) Áfa</t>
  </si>
  <si>
    <t xml:space="preserve">TOP-PLUSZ-2.1.1...00048 "Épületenergetikai fejlesztés Jánoshalma településen" projekt (Tűzoltóság épülete) </t>
  </si>
  <si>
    <t>Szemléletformáló képzés</t>
  </si>
  <si>
    <t>Szemléletformáló képzés Áfa</t>
  </si>
  <si>
    <t>Kivitelezés költség maradványa</t>
  </si>
  <si>
    <t>Kivitelezés költség maradványa Áfa</t>
  </si>
  <si>
    <t>KAP-RD43-1-24  Külterületi utak fejlesztése pályázat</t>
  </si>
  <si>
    <t>Külterületi utak fejlesztése pályázati önerő</t>
  </si>
  <si>
    <t>Külterületi utak fejlesztése pályázati önerő Áfa</t>
  </si>
  <si>
    <t>Egyéb nem elszámolható kiadási tételek:</t>
  </si>
  <si>
    <t>Jh. Piac tér szennyvíz bekötés áthelyezés kiviteli terve (Szigeti -Aqua Kft.)</t>
  </si>
  <si>
    <t>Játszótéri pályázat tervezés (geodézia, reziliencia, favédelem, rehab. szakmérnök)</t>
  </si>
  <si>
    <t xml:space="preserve">Jh. Piac tér szennyvíz bekötés </t>
  </si>
  <si>
    <t>Jh. Piac tér szennyvíz bekötés áthelyezés kiviteli terve (Szigeti -Aqua Kft.) Áfa</t>
  </si>
  <si>
    <t>Játszótéri pályázat tervezés (geodézia, reziliencia, favédelem, rehab. szakmérnök) Áfa</t>
  </si>
  <si>
    <t>Jh. Piac tér szennyvíz bekötés Áfa</t>
  </si>
  <si>
    <t>Szakhatósági díjak önk-i beruházás esetén</t>
  </si>
  <si>
    <t xml:space="preserve">Közvilágítás korszerűsítés műszaki szakértelem, műszaki ellenőrzés </t>
  </si>
  <si>
    <t>Weboldal karbantartás, üzemeltetés havi díja (Komplex Marketing Kft.)</t>
  </si>
  <si>
    <t>Naperőmű - Internet szolgáltatás (Alarm Trade Kft.)</t>
  </si>
  <si>
    <t xml:space="preserve">Honlappal összefüggő Web Hosting szolgáltatás (Grafikusom.hu) </t>
  </si>
  <si>
    <t>Wifi hozzáférési pontok (TARR Kft.)</t>
  </si>
  <si>
    <t xml:space="preserve">Naperőmű elektronikus védelmi rendszer - Halas-Pajzs Kft. </t>
  </si>
  <si>
    <t xml:space="preserve">Naperőmű felügyeleti és karbantartási díj - Delta - Sec. Kft. </t>
  </si>
  <si>
    <t>Városi térfigyelő kamerarendszer karbantartása, javítása - Delta Sec. Kft.</t>
  </si>
  <si>
    <t>Főépítészi feladatok ellátása</t>
  </si>
  <si>
    <t>Villamos biztonsági felülvizsgálat (érintés védelem) Buszmegálló</t>
  </si>
  <si>
    <t>Ipari terület kezelés</t>
  </si>
  <si>
    <t>Bajai u. 2. tér kialakítása</t>
  </si>
  <si>
    <t>Áram főtérre</t>
  </si>
  <si>
    <t>Bernáth Z. u. járda jav.</t>
  </si>
  <si>
    <t>Dr. Szobonya u. járdajavítás</t>
  </si>
  <si>
    <t>Áramlekötés Bajai u. 2.</t>
  </si>
  <si>
    <t>Homokbánya engedélyezés</t>
  </si>
  <si>
    <t>Vízkészletjárulék</t>
  </si>
  <si>
    <t>Helyi Építési Szabályzat módosítás</t>
  </si>
  <si>
    <t>Településrendezési Terv módosítás 272/2024(XII.12)</t>
  </si>
  <si>
    <t>Kameracsere</t>
  </si>
  <si>
    <t>Bajai u. 2. kamera elhelyezés</t>
  </si>
  <si>
    <t>Kameracsere Áfa</t>
  </si>
  <si>
    <t>Bajai u. 2. kamera elhelyezés Áfa</t>
  </si>
  <si>
    <t xml:space="preserve">Hatósági igazgatási szolgáltatási díjak </t>
  </si>
  <si>
    <t>Háziorv.körzet - helyettesítési díj átadása</t>
  </si>
  <si>
    <t>védőnő illetménye</t>
  </si>
  <si>
    <t>bankszámla hozzájárulása</t>
  </si>
  <si>
    <t xml:space="preserve">Felelősségbiztosítás </t>
  </si>
  <si>
    <t>1 fő  illetménye</t>
  </si>
  <si>
    <t>Csekkek térítési díj befizetéshez</t>
  </si>
  <si>
    <t>Irodaszer, nyomtatvány, toner, papír</t>
  </si>
  <si>
    <t>K63,67</t>
  </si>
  <si>
    <t>Számítógép konfiguráció beszerzése</t>
  </si>
  <si>
    <t>Dolgozók illetménye</t>
  </si>
  <si>
    <t xml:space="preserve">Házi segítségnyújtás eszközbeszerzései </t>
  </si>
  <si>
    <t>Környezetvédelmi Alap képzése- 2025. évi talajterhelési díj bev-ből</t>
  </si>
  <si>
    <t>Környezetvédelmi Alap maradványa 2024. év végén</t>
  </si>
  <si>
    <t>Célt.:- Projektek nem elszámolható kiadásaira</t>
  </si>
  <si>
    <t xml:space="preserve"> 2025. év</t>
  </si>
  <si>
    <t>Teljesítés 2025.06.30-ig</t>
  </si>
  <si>
    <t>2024. évi központi támogatások visszafizetési kötelezettsége</t>
  </si>
  <si>
    <t>K71,74</t>
  </si>
  <si>
    <t>Közfoglalkoztatási program támogatása - 00330</t>
  </si>
  <si>
    <t>Közfoglalkoztatási program támogatása - 00331</t>
  </si>
  <si>
    <t>TOP PLUSZ 1.2.1…00055 Közösségi fejlesztések pr.</t>
  </si>
  <si>
    <t>TOP_PLUSZ-1.1.1…00001 "Termelői piac felújítása Jh-n" előleg visszatérítés</t>
  </si>
  <si>
    <t>Háziorvosi körzet NEAK finanszírozása</t>
  </si>
  <si>
    <t>K122</t>
  </si>
  <si>
    <t>Megbízási díj</t>
  </si>
  <si>
    <t>Visszatérítendő köztemetési kiadás temettető önkormányzatnak</t>
  </si>
  <si>
    <t>K5021</t>
  </si>
  <si>
    <t>2024. évi parkoló bérleti díj (Practice Kft.)</t>
  </si>
  <si>
    <t>Mezőőri alapképzés díja</t>
  </si>
  <si>
    <t>Városüzemeltetési feladat munkabér, vez. pótlék</t>
  </si>
  <si>
    <t>Városüzemeltetési feladat</t>
  </si>
  <si>
    <t>Városüzemelt. fel. - kisértékű eszköz beszerzés</t>
  </si>
  <si>
    <t>Városüzemelt. fel. - kisértékű eszköz beszerzés Áfa</t>
  </si>
  <si>
    <t>Városüzemelt. fel. - működési anyag beszerzés</t>
  </si>
  <si>
    <t>Városüzemelt. fel. - üzemanyag, kenőanyag beszerzés</t>
  </si>
  <si>
    <t>Városüzemelt. fel. - gépfenntart., gépjavítás anyag</t>
  </si>
  <si>
    <t>Városüzemelt. fel. - áramdíj</t>
  </si>
  <si>
    <t>Városüzemelt. fel. - gázdíj</t>
  </si>
  <si>
    <t>Városüzemelt. fel. - vízdíj</t>
  </si>
  <si>
    <t>Városüzemelt. fel. - gépjavítás munkadíj</t>
  </si>
  <si>
    <t>Városüzemelt. fel. - biztosítási díj</t>
  </si>
  <si>
    <t>Városüzemelt. fel. - védőruha beszerzés</t>
  </si>
  <si>
    <t>Városüzemelt. fel. - Tisztító- tisztálkodószer beszerzés</t>
  </si>
  <si>
    <t>Városüzemelt. fel. - vásárolt szolgáltatás díja</t>
  </si>
  <si>
    <t>Városüzemelt. fel. -dologi kiadások Áfa-ja</t>
  </si>
  <si>
    <t>Városgazda Kft. támogatás (végkielégítés, új ügyv.d.)</t>
  </si>
  <si>
    <t>Közfoglalkoztatási program támogatása - 00335</t>
  </si>
  <si>
    <t>Közfoglalkoztatási program felhalm. támogatása - 00335</t>
  </si>
  <si>
    <t>70311/26/00335 - bér</t>
  </si>
  <si>
    <t>70311/26/00335 - járulék</t>
  </si>
  <si>
    <t>70311/26/00335 - védőital</t>
  </si>
  <si>
    <t>70311/26/00335 - munkaruha</t>
  </si>
  <si>
    <t>70311/26/00335 - dologi kiad. Áfa-ja</t>
  </si>
  <si>
    <t>Dologi kiadások</t>
  </si>
  <si>
    <t>70311/26/00335 - eszközvásárlás Áfa-ja</t>
  </si>
  <si>
    <t xml:space="preserve">70311/26/00335 - eszközvásárlás </t>
  </si>
  <si>
    <t>Beruházási kiadások</t>
  </si>
  <si>
    <t>70311/30/00179 Start pr. - bér</t>
  </si>
  <si>
    <t>Közfoglalkoztatási pr. működési c. támogatása - 00179</t>
  </si>
  <si>
    <t>Közfoglalkoztatási pr. felhalm. c. támogatása - 00179</t>
  </si>
  <si>
    <t>70311/30/00179 Start pr. - járulék</t>
  </si>
  <si>
    <t>Védőital betétdíj - 00179</t>
  </si>
  <si>
    <t>Védőital - 00179</t>
  </si>
  <si>
    <t>Munkaruha -00179</t>
  </si>
  <si>
    <t>üzemeltetési anyag (üzemanyag,) -00179</t>
  </si>
  <si>
    <t>Damil -00179</t>
  </si>
  <si>
    <t>Egyéb szolgáltatási kiadások-00179 (hulladékszállítás)</t>
  </si>
  <si>
    <t>Műk. c. előzetesen felszámított Áfa-00179</t>
  </si>
  <si>
    <t>egyéb tárgyi eszközök-00179 Áfa</t>
  </si>
  <si>
    <t>Rendészeti ruházat beszerzése</t>
  </si>
  <si>
    <t>Rendészeti ruházat Áfa</t>
  </si>
  <si>
    <t>Hagyatéki bevétel</t>
  </si>
  <si>
    <t>Városgazda Kft. támogatás (előre látható kiadások, 69/2025(III:27) Kt.)</t>
  </si>
  <si>
    <t>TOP_PLUSZ 3.1.3….00003 Hátrányból előnyt nyerünk! műk. tám.</t>
  </si>
  <si>
    <t>TOP_PLUSZ 3.1.3….00003 Hátrányból előnyt nyerünk! felh.  tám.</t>
  </si>
  <si>
    <t>TOP_PLUSZ 3.1.3….00003 Hátrányból ..-Eü. Alapítványi támogatás</t>
  </si>
  <si>
    <t>TOP_PLUSZ 3.1.3….00003 Hátrányból ..-Mélykút Önk.  támogatás</t>
  </si>
  <si>
    <t xml:space="preserve">TOP-PLUSZ-3.1.3…..00003 "Hátrányból előnyt nyerünk!" projekt </t>
  </si>
  <si>
    <t>szem. jutt.</t>
  </si>
  <si>
    <t>külső megbízási díj</t>
  </si>
  <si>
    <t>üzemeltetési anyag</t>
  </si>
  <si>
    <t>szakmai szolgáltatás</t>
  </si>
  <si>
    <t>egyéb szolgáltatás</t>
  </si>
  <si>
    <t>informatikai szolgáltatás</t>
  </si>
  <si>
    <t>dologi kiadások Áfa</t>
  </si>
  <si>
    <t>szoftver beszerzés</t>
  </si>
  <si>
    <t>K63</t>
  </si>
  <si>
    <t>informatikai eszköz beszerzés</t>
  </si>
  <si>
    <t>egyéb tárgyi eszköz beszerzés</t>
  </si>
  <si>
    <t>beruházások Áfa-ja</t>
  </si>
  <si>
    <t>Időskorúak tartós, bentlakásos ellátása</t>
  </si>
  <si>
    <t>Dózsa u. 81 II/12</t>
  </si>
  <si>
    <t>Borpince u. (víz)</t>
  </si>
  <si>
    <t>Rákóczi u. 10. II/5 festés</t>
  </si>
  <si>
    <t>Összesen:</t>
  </si>
  <si>
    <t>Egyéb ingatlan karbantartás</t>
  </si>
  <si>
    <t>Arany J. u. 13</t>
  </si>
  <si>
    <t xml:space="preserve">Batthyány u. 14. </t>
  </si>
  <si>
    <t>Bajai u. 4. (hátsó fal)</t>
  </si>
  <si>
    <t>Görgey u. 46. (utcai fal)</t>
  </si>
  <si>
    <t xml:space="preserve">Összesen: </t>
  </si>
  <si>
    <t>Részletezve az alábbiakat:</t>
  </si>
  <si>
    <t>Egyszerűsített foglalkoztatás (takarítás)</t>
  </si>
  <si>
    <t>Bankszámla hozzájárulás (könyvelési elt.)</t>
  </si>
  <si>
    <t xml:space="preserve">E-matrica és szolgáltatási díja - Testvérvárosi kapcsolatok </t>
  </si>
  <si>
    <t>One Magyarország Zrt. mobil szolg. net  díja</t>
  </si>
  <si>
    <t>One Magyarország Zrt. szolg. telefon  díja</t>
  </si>
  <si>
    <t>Szerviz munkadíj, gumiszerelés- személygépkocsik</t>
  </si>
  <si>
    <t>Egyéb gépjavítás, épület, szobor karbantartás</t>
  </si>
  <si>
    <t>Egyéb kiadás (pl. Kerekítés, koszorú, kamarai ktg.átalány)</t>
  </si>
  <si>
    <t>Jh-i Mithras Pedagógus Kórus támogatása</t>
  </si>
  <si>
    <t>1581,152,153/2025(V.29) Kt Berzsenyi u-i ingatlan vás.</t>
  </si>
  <si>
    <t>K62,67</t>
  </si>
  <si>
    <t>Arany J. u. 13. felújítási ktg-ek</t>
  </si>
  <si>
    <t xml:space="preserve">Batthyány 14. felújítási ktg-ek </t>
  </si>
  <si>
    <t xml:space="preserve">Bajai u. 4. hátsó fal felúj. ktg. </t>
  </si>
  <si>
    <t>Internet hozzáférési pont Orczy u. 110. (TARR Kft.)</t>
  </si>
  <si>
    <t>Riasztórendszer kódváltás, riasztó figyelő szolg. Orczy u. 110.</t>
  </si>
  <si>
    <t xml:space="preserve">Batthyány 14. beruházási ktg-ek </t>
  </si>
  <si>
    <t>13/2025(V.14)NGM rend. befiz. kötelezettség (Iparűzési adó többlet)</t>
  </si>
  <si>
    <t>K5022</t>
  </si>
  <si>
    <t>Roma nemzetiségi önkormányzat támogatása</t>
  </si>
  <si>
    <t>Mezõõri, rendészeti ruházat - Kötött sapka címerrel Baseball</t>
  </si>
  <si>
    <t>Internet szolgáltatás díja</t>
  </si>
  <si>
    <t>Telefondíj</t>
  </si>
  <si>
    <t>Mezőőr, közbizt.referens igazolvány kiadás díja</t>
  </si>
  <si>
    <t>2024. dec. biztonsági szolg. díja (Halas-Pajzs Kft.)</t>
  </si>
  <si>
    <t>70311/30/00179 Start pr. - betegszabadság</t>
  </si>
  <si>
    <t xml:space="preserve">Konténer ki/visszahelyezési díj Konténer bérlet </t>
  </si>
  <si>
    <t>eszközvásárlás -00179 (metszőolló, lapát, fűrész, ásó)</t>
  </si>
  <si>
    <t>70311/26/00330 -  táppénz hj.</t>
  </si>
  <si>
    <t>70311/26/00335  - betegszabadság</t>
  </si>
  <si>
    <t>70311/26/00335 - táppénz hj.</t>
  </si>
  <si>
    <t>Egyéb dologi kiadások (kerekítés)</t>
  </si>
  <si>
    <t>Horg. oszlöp közlekedési táblákhoz</t>
  </si>
  <si>
    <t>Közlekedési táblák</t>
  </si>
  <si>
    <t>Villamos energia szolg. díja Bajai utca Hrsz. 4565/14.</t>
  </si>
  <si>
    <t>Vízdíj - Vállalkozók útja 15.</t>
  </si>
  <si>
    <t>Ebrendészeti telep- kamerarendszer helyreállítása</t>
  </si>
  <si>
    <t>Kóbor ebek befogása (Kelebiai  K.m. Alapítvány)</t>
  </si>
  <si>
    <t>Ebrendészeti telep épület átalakítás, vízelvezetés</t>
  </si>
  <si>
    <t>Ebrendészeti telep épület átalakítás, vízelvezetés  Áfa</t>
  </si>
  <si>
    <t>Közlekedési költségtérítés</t>
  </si>
  <si>
    <t>Projekttábla - TOP_PLUSZ 1.1.1-21-BK1-2022-00001</t>
  </si>
  <si>
    <t>Bérleti díjak (légvár)</t>
  </si>
  <si>
    <t>Közbeszerzési jogi szakvélemény készítése (Dr. Polyák Cs.)</t>
  </si>
  <si>
    <t>Használatbavételi engedélyezési eljárás díja -Piac</t>
  </si>
  <si>
    <t>Dr. Szobonya Z. utcában 14 fh. Parkoló forg-ba helyezésének engedélyezési díja</t>
  </si>
  <si>
    <t>TOP-PLUSZ 1.2.1…00055 igazgatási szolgáltatási díj</t>
  </si>
  <si>
    <t>Elsõsegély felszerelés II. Mentõláda - Piac - mûködési engedélyhez</t>
  </si>
  <si>
    <t>Mentőláda beszerzés Áfa</t>
  </si>
  <si>
    <t>Dr. Szobonya Z. utcában 14 fh. Parkoló útügyi eljárási díj</t>
  </si>
  <si>
    <t>Eljárási díjak</t>
  </si>
  <si>
    <t>"Versenyképes Járások.." projekt előkészítés 159/2025(V.29) Kt. hat.</t>
  </si>
  <si>
    <t>szakmai szolgáltatás (közbeszerzési szakvélemény díja)</t>
  </si>
  <si>
    <t>Mérőszekrény csere (Klapka u.)</t>
  </si>
  <si>
    <t>HDMI kábel 2m - Piac projekt</t>
  </si>
  <si>
    <t>HDMI kábel 2m - Piac projekt Áfa</t>
  </si>
  <si>
    <t>Orczy u.  181. áram alapdíj</t>
  </si>
  <si>
    <t>Városi kamerák és egyéb önkormányzati áramdíjak (pl. Béke tér 11, Rákóczi u.)</t>
  </si>
  <si>
    <t>Kamerarendszer javítása napelemparkban (Delta-Sec Kft.)</t>
  </si>
  <si>
    <t>Naperőmű biztosítási díj (Csányi és Társa)</t>
  </si>
  <si>
    <t xml:space="preserve">Gépjárművek KGFB biztosítási díja </t>
  </si>
  <si>
    <t xml:space="preserve">Mélykúti u. 7. elektronikus védelmi rendszer - Halas-Pajzs Kft. </t>
  </si>
  <si>
    <t>Közegészségügyi kártevőmentesítés (Piac, Sportpálya, karbm.)</t>
  </si>
  <si>
    <t>Vadgesztenye fák permetezése</t>
  </si>
  <si>
    <t>Homokbánya műszaki üzemelési terv-környezetvédelmi dokumentáció</t>
  </si>
  <si>
    <t>Egyéb szolg. pl. kulcsmásolás, zárcsere,vízszolgáltatás helyreállítása stb.</t>
  </si>
  <si>
    <t>Környezeti értékelés eldöntéséhez szükséges dokumentáció elkészítése</t>
  </si>
  <si>
    <t>Bajai u. 2. tér kialakítása Áfa</t>
  </si>
  <si>
    <t>JÁNOSHALMA betűk Bajai u. 2. ingatlanra</t>
  </si>
  <si>
    <t>JÁNOSHALMA betűk Bajai u. 2. ingatlanra Áfa</t>
  </si>
  <si>
    <r>
      <t xml:space="preserve">Egyéni védőfelszerelések </t>
    </r>
    <r>
      <rPr>
        <sz val="11"/>
        <color rgb="FF7030A0"/>
        <rFont val="Calibri"/>
        <family val="2"/>
        <charset val="238"/>
        <scheme val="minor"/>
      </rPr>
      <t xml:space="preserve">(tesztcsík, kesztyű) </t>
    </r>
    <r>
      <rPr>
        <sz val="11"/>
        <color theme="1"/>
        <rFont val="Calibri"/>
        <family val="2"/>
        <charset val="238"/>
        <scheme val="minor"/>
      </rPr>
      <t>fertőtlenítő szerek, ételhordó</t>
    </r>
  </si>
  <si>
    <t>K508</t>
  </si>
  <si>
    <t>Célt.:-Ingatlan fejlesztési céltartalék</t>
  </si>
  <si>
    <t>Fertőtlenítő, tisztítószerek, irodaszerek</t>
  </si>
  <si>
    <t>Megújult ingatlanok bérleti díja</t>
  </si>
  <si>
    <t>Közvetített szolgáltatások bevétele (Arany J. u.13)</t>
  </si>
  <si>
    <t>Kamat bevétel</t>
  </si>
  <si>
    <t>Bevétel: 2024. évi bérleti díj</t>
  </si>
  <si>
    <t>Egyéb működési bevételek (állatvédelmi bírság)</t>
  </si>
  <si>
    <t>2024.10.01-12.31 időszak után</t>
  </si>
  <si>
    <t>Városüzemeltetési szolgáltatás (fűnyírás)</t>
  </si>
  <si>
    <t>Sátor, asztal, pad  bérleti díja</t>
  </si>
  <si>
    <t>Egyéb műk. bevételek (homokbány igazgatási szolg. díj visszatérítés)</t>
  </si>
  <si>
    <t>Előző évek villamos energia túlfizetés visszatérítése)</t>
  </si>
  <si>
    <t>YDT-728 díjvisszatérítés</t>
  </si>
  <si>
    <t>Bírság-adónemre elszámolt bevétel és állatvédelmi bírság</t>
  </si>
  <si>
    <t>Pénzkövetelés végrehajtásának foganatosításáért járó költség bevétele</t>
  </si>
  <si>
    <t>MVM DÉMÁSZ kötbér (4565/7 hrsz., Klapka u.)</t>
  </si>
  <si>
    <t>Önk-ok funkcióra nem sorolható bevételei ÁH-on kívülről  - helyi önkormányzatok költségvetését megillető adóbevételek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</si>
</sst>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 CE"/>
      <charset val="238"/>
    </font>
    <font>
      <sz val="9"/>
      <name val="Arial CE"/>
      <charset val="238"/>
    </font>
    <font>
      <sz val="11"/>
      <color rgb="FF7030A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Calibri"/>
      <family val="2"/>
      <charset val="238"/>
      <scheme val="minor"/>
    </font>
    <font>
      <b/>
      <i/>
      <sz val="12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1">
    <xf numFmtId="0" fontId="0" fillId="0" borderId="0" xfId="0"/>
    <xf numFmtId="49" fontId="2" fillId="0" borderId="0" xfId="0" applyNumberFormat="1" applyFont="1"/>
    <xf numFmtId="0" fontId="2" fillId="0" borderId="0" xfId="0" applyFon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10" fontId="0" fillId="0" borderId="0" xfId="0" applyNumberFormat="1"/>
    <xf numFmtId="10" fontId="1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1" fontId="9" fillId="0" borderId="1" xfId="0" applyNumberFormat="1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164" fontId="7" fillId="0" borderId="6" xfId="0" applyNumberFormat="1" applyFont="1" applyBorder="1" applyAlignment="1">
      <alignment vertical="center"/>
    </xf>
    <xf numFmtId="0" fontId="6" fillId="0" borderId="0" xfId="0" applyFont="1"/>
    <xf numFmtId="0" fontId="10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0" fillId="0" borderId="0" xfId="0" applyAlignment="1">
      <alignment wrapText="1"/>
    </xf>
    <xf numFmtId="1" fontId="9" fillId="0" borderId="3" xfId="0" applyNumberFormat="1" applyFont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1" applyFont="1" applyAlignment="1">
      <alignment horizontal="left" vertical="center" wrapText="1"/>
    </xf>
    <xf numFmtId="0" fontId="16" fillId="0" borderId="0" xfId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9" fillId="0" borderId="0" xfId="0" applyFont="1"/>
    <xf numFmtId="10" fontId="13" fillId="0" borderId="1" xfId="0" applyNumberFormat="1" applyFont="1" applyBorder="1" applyAlignment="1">
      <alignment horizontal="right" vertical="center"/>
    </xf>
    <xf numFmtId="10" fontId="14" fillId="0" borderId="1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1" fontId="9" fillId="0" borderId="2" xfId="0" applyNumberFormat="1" applyFont="1" applyBorder="1" applyAlignment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left" vertical="center"/>
    </xf>
    <xf numFmtId="164" fontId="12" fillId="4" borderId="1" xfId="0" applyNumberFormat="1" applyFont="1" applyFill="1" applyBorder="1" applyAlignment="1">
      <alignment horizontal="right" vertical="center"/>
    </xf>
    <xf numFmtId="10" fontId="12" fillId="4" borderId="1" xfId="0" applyNumberFormat="1" applyFont="1" applyFill="1" applyBorder="1" applyAlignment="1">
      <alignment horizontal="right" vertical="center"/>
    </xf>
    <xf numFmtId="1" fontId="21" fillId="0" borderId="2" xfId="0" applyNumberFormat="1" applyFont="1" applyBorder="1" applyAlignment="1">
      <alignment horizontal="center" vertical="center" wrapText="1"/>
    </xf>
    <xf numFmtId="49" fontId="22" fillId="4" borderId="5" xfId="0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left" vertical="center"/>
    </xf>
    <xf numFmtId="164" fontId="22" fillId="4" borderId="1" xfId="0" applyNumberFormat="1" applyFont="1" applyFill="1" applyBorder="1" applyAlignment="1">
      <alignment horizontal="right" vertical="center"/>
    </xf>
    <xf numFmtId="10" fontId="22" fillId="4" borderId="1" xfId="0" applyNumberFormat="1" applyFont="1" applyFill="1" applyBorder="1" applyAlignment="1">
      <alignment horizontal="right" vertical="center"/>
    </xf>
    <xf numFmtId="0" fontId="23" fillId="0" borderId="0" xfId="0" applyFont="1"/>
    <xf numFmtId="0" fontId="14" fillId="0" borderId="6" xfId="0" applyFont="1" applyBorder="1" applyAlignment="1">
      <alignment horizontal="right" vertical="center"/>
    </xf>
    <xf numFmtId="164" fontId="14" fillId="0" borderId="6" xfId="0" applyNumberFormat="1" applyFont="1" applyBorder="1" applyAlignment="1">
      <alignment vertical="center"/>
    </xf>
    <xf numFmtId="164" fontId="14" fillId="0" borderId="0" xfId="0" applyNumberFormat="1" applyFont="1" applyAlignment="1">
      <alignment vertical="center"/>
    </xf>
    <xf numFmtId="10" fontId="14" fillId="0" borderId="0" xfId="0" applyNumberFormat="1" applyFont="1" applyAlignment="1">
      <alignment horizontal="right" vertical="center"/>
    </xf>
    <xf numFmtId="10" fontId="12" fillId="0" borderId="1" xfId="0" applyNumberFormat="1" applyFont="1" applyBorder="1" applyAlignment="1">
      <alignment horizontal="right" vertical="center"/>
    </xf>
    <xf numFmtId="0" fontId="0" fillId="0" borderId="0" xfId="0" applyAlignment="1" applyProtection="1">
      <alignment wrapText="1"/>
      <protection locked="0"/>
    </xf>
    <xf numFmtId="3" fontId="0" fillId="3" borderId="0" xfId="0" applyNumberFormat="1" applyFill="1"/>
    <xf numFmtId="3" fontId="0" fillId="5" borderId="0" xfId="0" applyNumberFormat="1" applyFill="1"/>
    <xf numFmtId="3" fontId="1" fillId="5" borderId="0" xfId="0" applyNumberFormat="1" applyFont="1" applyFill="1"/>
    <xf numFmtId="3" fontId="4" fillId="5" borderId="0" xfId="0" applyNumberFormat="1" applyFont="1" applyFill="1"/>
    <xf numFmtId="3" fontId="0" fillId="0" borderId="0" xfId="0" applyNumberFormat="1" applyAlignment="1">
      <alignment horizontal="right" vertical="center"/>
    </xf>
    <xf numFmtId="49" fontId="2" fillId="3" borderId="0" xfId="0" applyNumberFormat="1" applyFont="1" applyFill="1"/>
    <xf numFmtId="0" fontId="15" fillId="3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right" vertical="center"/>
    </xf>
    <xf numFmtId="49" fontId="24" fillId="3" borderId="0" xfId="0" applyNumberFormat="1" applyFont="1" applyFill="1" applyAlignment="1">
      <alignment horizontal="right"/>
    </xf>
    <xf numFmtId="3" fontId="24" fillId="3" borderId="0" xfId="0" applyNumberFormat="1" applyFont="1" applyFill="1" applyAlignment="1">
      <alignment horizontal="right"/>
    </xf>
    <xf numFmtId="10" fontId="24" fillId="0" borderId="0" xfId="0" applyNumberFormat="1" applyFont="1"/>
    <xf numFmtId="164" fontId="22" fillId="2" borderId="1" xfId="0" applyNumberFormat="1" applyFont="1" applyFill="1" applyBorder="1" applyAlignment="1">
      <alignment horizontal="right" vertical="center"/>
    </xf>
    <xf numFmtId="0" fontId="0" fillId="6" borderId="0" xfId="0" applyFill="1"/>
    <xf numFmtId="3" fontId="0" fillId="6" borderId="0" xfId="0" applyNumberFormat="1" applyFill="1"/>
    <xf numFmtId="10" fontId="0" fillId="6" borderId="0" xfId="0" applyNumberFormat="1" applyFill="1"/>
    <xf numFmtId="0" fontId="2" fillId="6" borderId="0" xfId="0" applyFont="1" applyFill="1" applyAlignment="1">
      <alignment horizontal="left"/>
    </xf>
    <xf numFmtId="0" fontId="1" fillId="6" borderId="0" xfId="0" applyFont="1" applyFill="1"/>
    <xf numFmtId="3" fontId="1" fillId="6" borderId="0" xfId="0" applyNumberFormat="1" applyFont="1" applyFill="1"/>
    <xf numFmtId="10" fontId="1" fillId="6" borderId="0" xfId="0" applyNumberFormat="1" applyFont="1" applyFill="1"/>
    <xf numFmtId="0" fontId="0" fillId="6" borderId="0" xfId="0" applyFill="1" applyAlignment="1">
      <alignment vertical="center" wrapText="1"/>
    </xf>
    <xf numFmtId="3" fontId="24" fillId="0" borderId="0" xfId="0" applyNumberFormat="1" applyFont="1"/>
    <xf numFmtId="164" fontId="13" fillId="3" borderId="1" xfId="0" applyNumberFormat="1" applyFont="1" applyFill="1" applyBorder="1" applyAlignment="1">
      <alignment horizontal="right" vertical="center"/>
    </xf>
    <xf numFmtId="3" fontId="0" fillId="7" borderId="0" xfId="0" applyNumberFormat="1" applyFill="1"/>
    <xf numFmtId="3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left" wrapText="1"/>
    </xf>
    <xf numFmtId="3" fontId="1" fillId="3" borderId="0" xfId="0" applyNumberFormat="1" applyFont="1" applyFill="1"/>
    <xf numFmtId="0" fontId="1" fillId="3" borderId="0" xfId="0" applyFont="1" applyFill="1"/>
    <xf numFmtId="0" fontId="0" fillId="7" borderId="0" xfId="0" applyFill="1"/>
    <xf numFmtId="0" fontId="26" fillId="0" borderId="0" xfId="0" applyFont="1"/>
    <xf numFmtId="0" fontId="0" fillId="0" borderId="0" xfId="0" applyAlignment="1">
      <alignment horizontal="center" wrapText="1"/>
    </xf>
    <xf numFmtId="0" fontId="0" fillId="2" borderId="0" xfId="0" applyFill="1"/>
    <xf numFmtId="0" fontId="3" fillId="2" borderId="0" xfId="0" applyFont="1" applyFill="1"/>
    <xf numFmtId="0" fontId="1" fillId="2" borderId="0" xfId="0" applyFont="1" applyFill="1"/>
    <xf numFmtId="3" fontId="1" fillId="2" borderId="0" xfId="0" applyNumberFormat="1" applyFont="1" applyFill="1"/>
    <xf numFmtId="10" fontId="1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/>
    <xf numFmtId="10" fontId="4" fillId="2" borderId="0" xfId="0" applyNumberFormat="1" applyFont="1" applyFill="1"/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10" fontId="0" fillId="0" borderId="0" xfId="0" applyNumberFormat="1" applyAlignment="1">
      <alignment horizontal="right" vertical="center"/>
    </xf>
    <xf numFmtId="49" fontId="24" fillId="3" borderId="0" xfId="0" applyNumberFormat="1" applyFont="1" applyFill="1" applyAlignment="1">
      <alignment horizontal="right"/>
    </xf>
    <xf numFmtId="49" fontId="24" fillId="3" borderId="0" xfId="0" applyNumberFormat="1" applyFont="1" applyFill="1" applyAlignment="1">
      <alignment horizontal="left" wrapText="1"/>
    </xf>
    <xf numFmtId="49" fontId="24" fillId="3" borderId="0" xfId="0" applyNumberFormat="1" applyFont="1" applyFill="1" applyAlignment="1">
      <alignment horizontal="left"/>
    </xf>
    <xf numFmtId="0" fontId="25" fillId="0" borderId="0" xfId="0" applyFont="1" applyAlignment="1">
      <alignment horizontal="left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center" wrapText="1"/>
    </xf>
    <xf numFmtId="3" fontId="0" fillId="7" borderId="0" xfId="0" applyNumberFormat="1" applyFill="1" applyAlignment="1">
      <alignment horizontal="right" vertical="center"/>
    </xf>
    <xf numFmtId="10" fontId="0" fillId="7" borderId="0" xfId="0" applyNumberFormat="1" applyFill="1" applyAlignment="1">
      <alignment horizontal="right" vertical="center"/>
    </xf>
    <xf numFmtId="0" fontId="0" fillId="0" borderId="0" xfId="0" applyAlignment="1">
      <alignment horizontal="center"/>
    </xf>
  </cellXfs>
  <cellStyles count="2">
    <cellStyle name="Normál" xfId="0" builtinId="0"/>
    <cellStyle name="Normál_2011évikiadásokPHszakf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72"/>
  <sheetViews>
    <sheetView tabSelected="1" topLeftCell="A46" zoomScaleNormal="100" workbookViewId="0">
      <selection activeCell="D63" sqref="D63"/>
    </sheetView>
  </sheetViews>
  <sheetFormatPr defaultRowHeight="15" x14ac:dyDescent="0.25"/>
  <cols>
    <col min="1" max="1" width="5.5703125" customWidth="1"/>
    <col min="2" max="2" width="2.5703125" style="40" customWidth="1"/>
    <col min="3" max="3" width="10.42578125" customWidth="1"/>
    <col min="4" max="4" width="70.28515625" customWidth="1"/>
    <col min="5" max="5" width="21.5703125" bestFit="1" customWidth="1"/>
    <col min="6" max="6" width="21.42578125" bestFit="1" customWidth="1"/>
    <col min="7" max="7" width="21.28515625" bestFit="1" customWidth="1"/>
    <col min="8" max="8" width="13.7109375" customWidth="1"/>
  </cols>
  <sheetData>
    <row r="1" spans="2:8" ht="20.25" x14ac:dyDescent="0.25">
      <c r="B1" s="117" t="s">
        <v>555</v>
      </c>
      <c r="C1" s="117"/>
      <c r="D1" s="117"/>
      <c r="E1" s="117"/>
      <c r="F1" s="117"/>
      <c r="G1" s="117"/>
    </row>
    <row r="2" spans="2:8" x14ac:dyDescent="0.25">
      <c r="B2" s="12"/>
      <c r="C2" s="13"/>
      <c r="D2" s="14"/>
      <c r="E2" s="15"/>
    </row>
    <row r="3" spans="2:8" ht="18" x14ac:dyDescent="0.25">
      <c r="B3" s="116" t="s">
        <v>59</v>
      </c>
      <c r="C3" s="116"/>
      <c r="D3" s="116"/>
      <c r="E3" s="116"/>
      <c r="F3" s="116"/>
      <c r="G3" s="116"/>
    </row>
    <row r="4" spans="2:8" x14ac:dyDescent="0.25">
      <c r="B4" s="16"/>
      <c r="C4" s="41" t="s">
        <v>19</v>
      </c>
      <c r="D4" s="17"/>
      <c r="E4" s="17"/>
    </row>
    <row r="5" spans="2:8" ht="22.5" x14ac:dyDescent="0.25">
      <c r="B5" s="18"/>
      <c r="C5" s="19" t="s">
        <v>60</v>
      </c>
      <c r="D5" s="20" t="s">
        <v>3</v>
      </c>
      <c r="E5" s="21" t="s">
        <v>126</v>
      </c>
      <c r="F5" s="21" t="s">
        <v>127</v>
      </c>
      <c r="G5" s="83" t="s">
        <v>556</v>
      </c>
      <c r="H5" s="21" t="s">
        <v>7</v>
      </c>
    </row>
    <row r="6" spans="2:8" ht="30" x14ac:dyDescent="0.25">
      <c r="B6" s="22"/>
      <c r="C6" s="23" t="s">
        <v>0</v>
      </c>
      <c r="D6" s="24" t="s">
        <v>61</v>
      </c>
      <c r="E6" s="25">
        <f>'011130'!C59</f>
        <v>123221244</v>
      </c>
      <c r="F6" s="25">
        <f>'011130'!D59</f>
        <v>146649145</v>
      </c>
      <c r="G6" s="25">
        <f>'011130'!E59</f>
        <v>85420302</v>
      </c>
      <c r="H6" s="54">
        <f>G6/F6</f>
        <v>0.58248073659072475</v>
      </c>
    </row>
    <row r="7" spans="2:8" x14ac:dyDescent="0.25">
      <c r="B7" s="22"/>
      <c r="C7" s="23" t="s">
        <v>62</v>
      </c>
      <c r="D7" s="26" t="s">
        <v>63</v>
      </c>
      <c r="E7" s="25">
        <f>'013320'!C10</f>
        <v>100000</v>
      </c>
      <c r="F7" s="25">
        <f>'013320'!D10</f>
        <v>100000</v>
      </c>
      <c r="G7" s="25">
        <f>'013320'!E10</f>
        <v>0</v>
      </c>
      <c r="H7" s="54">
        <f t="shared" ref="H7:H39" si="0">G7/F7</f>
        <v>0</v>
      </c>
    </row>
    <row r="8" spans="2:8" x14ac:dyDescent="0.25">
      <c r="B8" s="27"/>
      <c r="C8" s="23" t="s">
        <v>64</v>
      </c>
      <c r="D8" s="26" t="s">
        <v>65</v>
      </c>
      <c r="E8" s="25">
        <f>'013350'!C39</f>
        <v>61520052</v>
      </c>
      <c r="F8" s="25">
        <f>'013350'!D39</f>
        <v>66869317</v>
      </c>
      <c r="G8" s="25">
        <f>'013350'!E39</f>
        <v>27628989</v>
      </c>
      <c r="H8" s="54">
        <f t="shared" si="0"/>
        <v>0.41317887245655582</v>
      </c>
    </row>
    <row r="9" spans="2:8" x14ac:dyDescent="0.25">
      <c r="B9" s="44"/>
      <c r="C9" s="23" t="s">
        <v>177</v>
      </c>
      <c r="D9" s="26" t="s">
        <v>178</v>
      </c>
      <c r="E9" s="25">
        <f>'018010'!C8</f>
        <v>0</v>
      </c>
      <c r="F9" s="25">
        <f>'018010'!D8</f>
        <v>17318991</v>
      </c>
      <c r="G9" s="25">
        <f>'018010'!E8</f>
        <v>17318991</v>
      </c>
      <c r="H9" s="54">
        <f t="shared" si="0"/>
        <v>1</v>
      </c>
    </row>
    <row r="10" spans="2:8" x14ac:dyDescent="0.25">
      <c r="B10" s="28"/>
      <c r="C10" s="23" t="s">
        <v>66</v>
      </c>
      <c r="D10" s="26" t="s">
        <v>67</v>
      </c>
      <c r="E10" s="25">
        <f>'018020'!C10</f>
        <v>31172678</v>
      </c>
      <c r="F10" s="25">
        <f>'018020'!D10</f>
        <v>31172678</v>
      </c>
      <c r="G10" s="25">
        <f>'018020'!E10</f>
        <v>30735969</v>
      </c>
      <c r="H10" s="54">
        <f t="shared" si="0"/>
        <v>0.98599064860580798</v>
      </c>
    </row>
    <row r="11" spans="2:8" x14ac:dyDescent="0.25">
      <c r="B11" s="28"/>
      <c r="C11" s="23" t="s">
        <v>68</v>
      </c>
      <c r="D11" s="26" t="s">
        <v>69</v>
      </c>
      <c r="E11" s="25">
        <f>'018030'!C12</f>
        <v>799363566</v>
      </c>
      <c r="F11" s="25">
        <f>'018030'!D12</f>
        <v>808902963</v>
      </c>
      <c r="G11" s="25">
        <f>'018030'!E12</f>
        <v>384547081</v>
      </c>
      <c r="H11" s="54">
        <f t="shared" si="0"/>
        <v>0.47539333960877084</v>
      </c>
    </row>
    <row r="12" spans="2:8" x14ac:dyDescent="0.25">
      <c r="B12" s="28"/>
      <c r="C12" s="23" t="s">
        <v>70</v>
      </c>
      <c r="D12" s="26" t="s">
        <v>71</v>
      </c>
      <c r="E12" s="25">
        <f>'031060'!C22</f>
        <v>11087824</v>
      </c>
      <c r="F12" s="25">
        <f>'031060'!D22</f>
        <v>12076691</v>
      </c>
      <c r="G12" s="25">
        <f>'031060'!E22</f>
        <v>5632101</v>
      </c>
      <c r="H12" s="54">
        <f t="shared" si="0"/>
        <v>0.46636127396155125</v>
      </c>
    </row>
    <row r="13" spans="2:8" x14ac:dyDescent="0.25">
      <c r="B13" s="22"/>
      <c r="C13" s="23" t="s">
        <v>72</v>
      </c>
      <c r="D13" s="26" t="s">
        <v>73</v>
      </c>
      <c r="E13" s="25">
        <f>'032020'!C7</f>
        <v>15844416</v>
      </c>
      <c r="F13" s="25">
        <f>'032020'!D7</f>
        <v>15844416</v>
      </c>
      <c r="G13" s="25">
        <f>'032020'!E7</f>
        <v>6601840</v>
      </c>
      <c r="H13" s="54">
        <f t="shared" si="0"/>
        <v>0.41666666666666669</v>
      </c>
    </row>
    <row r="14" spans="2:8" x14ac:dyDescent="0.25">
      <c r="B14" s="22"/>
      <c r="C14" s="23" t="s">
        <v>74</v>
      </c>
      <c r="D14" s="26" t="s">
        <v>75</v>
      </c>
      <c r="E14" s="25">
        <f>'041232'!C33</f>
        <v>6949771</v>
      </c>
      <c r="F14" s="25">
        <f>'041232'!D33</f>
        <v>29234272</v>
      </c>
      <c r="G14" s="25">
        <f>'041232'!E33</f>
        <v>14001680</v>
      </c>
      <c r="H14" s="54">
        <f t="shared" si="0"/>
        <v>0.47894744907620757</v>
      </c>
    </row>
    <row r="15" spans="2:8" x14ac:dyDescent="0.25">
      <c r="B15" s="22"/>
      <c r="C15" s="23" t="s">
        <v>76</v>
      </c>
      <c r="D15" s="26" t="s">
        <v>77</v>
      </c>
      <c r="E15" s="25">
        <f>'041233'!C25</f>
        <v>21233331</v>
      </c>
      <c r="F15" s="25">
        <f>'041233'!D25</f>
        <v>97791245</v>
      </c>
      <c r="G15" s="25">
        <f>'041233'!E25</f>
        <v>48575580</v>
      </c>
      <c r="H15" s="54">
        <f t="shared" si="0"/>
        <v>0.49672728882836087</v>
      </c>
    </row>
    <row r="16" spans="2:8" x14ac:dyDescent="0.25">
      <c r="B16" s="22"/>
      <c r="C16" s="23" t="s">
        <v>78</v>
      </c>
      <c r="D16" s="26" t="s">
        <v>79</v>
      </c>
      <c r="E16" s="25">
        <f>'042130'!C10</f>
        <v>15248000</v>
      </c>
      <c r="F16" s="25">
        <f>'042130'!D10</f>
        <v>15248000</v>
      </c>
      <c r="G16" s="25">
        <f>'042130'!E10</f>
        <v>6299583</v>
      </c>
      <c r="H16" s="54">
        <f t="shared" si="0"/>
        <v>0.41314159233997899</v>
      </c>
    </row>
    <row r="17" spans="2:8" x14ac:dyDescent="0.25">
      <c r="B17" s="22"/>
      <c r="C17" s="23" t="s">
        <v>80</v>
      </c>
      <c r="D17" s="26" t="s">
        <v>81</v>
      </c>
      <c r="E17" s="25">
        <f>'045160'!C15</f>
        <v>2520000</v>
      </c>
      <c r="F17" s="25">
        <f>'045160'!D15</f>
        <v>2964297</v>
      </c>
      <c r="G17" s="25">
        <f>'045160'!E15</f>
        <v>2874297</v>
      </c>
      <c r="H17" s="54">
        <f t="shared" si="0"/>
        <v>0.96963866980940172</v>
      </c>
    </row>
    <row r="18" spans="2:8" x14ac:dyDescent="0.25">
      <c r="B18" s="22"/>
      <c r="C18" s="23" t="s">
        <v>82</v>
      </c>
      <c r="D18" s="26" t="s">
        <v>83</v>
      </c>
      <c r="E18" s="25">
        <f>'047410'!C8</f>
        <v>500000</v>
      </c>
      <c r="F18" s="25">
        <f>'047410'!D8</f>
        <v>500000</v>
      </c>
      <c r="G18" s="25">
        <f>'047410'!E8</f>
        <v>0</v>
      </c>
      <c r="H18" s="54">
        <f t="shared" si="0"/>
        <v>0</v>
      </c>
    </row>
    <row r="19" spans="2:8" x14ac:dyDescent="0.25">
      <c r="B19" s="22"/>
      <c r="C19" s="29" t="s">
        <v>84</v>
      </c>
      <c r="D19" s="26" t="s">
        <v>85</v>
      </c>
      <c r="E19" s="30">
        <f>'049010'!C14</f>
        <v>765900</v>
      </c>
      <c r="F19" s="30">
        <f>'049010'!D14</f>
        <v>1657544</v>
      </c>
      <c r="G19" s="30">
        <f>'049010'!E14</f>
        <v>1309196</v>
      </c>
      <c r="H19" s="54">
        <f t="shared" si="0"/>
        <v>0.7898408730024663</v>
      </c>
    </row>
    <row r="20" spans="2:8" ht="30" x14ac:dyDescent="0.25">
      <c r="B20" s="27"/>
      <c r="C20" s="29" t="s">
        <v>86</v>
      </c>
      <c r="D20" s="24" t="s">
        <v>87</v>
      </c>
      <c r="E20" s="30">
        <f>'051030'!C13</f>
        <v>11242262</v>
      </c>
      <c r="F20" s="30">
        <f>'051030'!D13</f>
        <v>11242262</v>
      </c>
      <c r="G20" s="30">
        <f>'051030'!E13</f>
        <v>10497404</v>
      </c>
      <c r="H20" s="54">
        <f t="shared" si="0"/>
        <v>0.93374482822051297</v>
      </c>
    </row>
    <row r="21" spans="2:8" x14ac:dyDescent="0.25">
      <c r="B21" s="31"/>
      <c r="C21" s="29" t="s">
        <v>88</v>
      </c>
      <c r="D21" s="32" t="s">
        <v>89</v>
      </c>
      <c r="E21" s="30">
        <f>'051060'!C23</f>
        <v>21759613</v>
      </c>
      <c r="F21" s="30">
        <f>'051060'!D23</f>
        <v>21759613</v>
      </c>
      <c r="G21" s="30">
        <f>'051060'!E23</f>
        <v>20190542</v>
      </c>
      <c r="H21" s="54">
        <f t="shared" si="0"/>
        <v>0.92789067526154989</v>
      </c>
    </row>
    <row r="22" spans="2:8" x14ac:dyDescent="0.25">
      <c r="B22" s="31"/>
      <c r="C22" s="29" t="s">
        <v>90</v>
      </c>
      <c r="D22" s="32" t="s">
        <v>91</v>
      </c>
      <c r="E22" s="30">
        <f>'052080'!C11</f>
        <v>939475</v>
      </c>
      <c r="F22" s="30">
        <f>'052080'!D11</f>
        <v>939475</v>
      </c>
      <c r="G22" s="30">
        <f>'052080'!E11</f>
        <v>0</v>
      </c>
      <c r="H22" s="54">
        <f t="shared" si="0"/>
        <v>0</v>
      </c>
    </row>
    <row r="23" spans="2:8" x14ac:dyDescent="0.25">
      <c r="B23" s="31"/>
      <c r="C23" s="29" t="s">
        <v>92</v>
      </c>
      <c r="D23" s="32" t="s">
        <v>93</v>
      </c>
      <c r="E23" s="30">
        <f>'062020'!C137</f>
        <v>826208481</v>
      </c>
      <c r="F23" s="30">
        <f>'062020'!D137</f>
        <v>895143637</v>
      </c>
      <c r="G23" s="30">
        <f>'062020'!E137</f>
        <v>37404835</v>
      </c>
      <c r="H23" s="54">
        <f t="shared" si="0"/>
        <v>4.1786405503991757E-2</v>
      </c>
    </row>
    <row r="24" spans="2:8" x14ac:dyDescent="0.25">
      <c r="B24" s="22"/>
      <c r="C24" s="23" t="s">
        <v>94</v>
      </c>
      <c r="D24" s="26" t="s">
        <v>95</v>
      </c>
      <c r="E24" s="30">
        <f>'064010'!C13</f>
        <v>68216175</v>
      </c>
      <c r="F24" s="30">
        <f>'064010'!D13</f>
        <v>68216175</v>
      </c>
      <c r="G24" s="30">
        <f>'064010'!E13</f>
        <v>29462528</v>
      </c>
      <c r="H24" s="54">
        <f t="shared" si="0"/>
        <v>0.43189944320390289</v>
      </c>
    </row>
    <row r="25" spans="2:8" x14ac:dyDescent="0.25">
      <c r="B25" s="33"/>
      <c r="C25" s="23" t="s">
        <v>96</v>
      </c>
      <c r="D25" s="26" t="s">
        <v>97</v>
      </c>
      <c r="E25" s="30">
        <f>'066010'!C15</f>
        <v>53362000</v>
      </c>
      <c r="F25" s="30">
        <f>'066010'!D15</f>
        <v>12279832</v>
      </c>
      <c r="G25" s="30">
        <f>'066010'!E15</f>
        <v>12122466</v>
      </c>
      <c r="H25" s="54">
        <f t="shared" si="0"/>
        <v>0.98718500383392871</v>
      </c>
    </row>
    <row r="26" spans="2:8" x14ac:dyDescent="0.25">
      <c r="B26" s="33"/>
      <c r="C26" s="23" t="s">
        <v>98</v>
      </c>
      <c r="D26" s="26" t="s">
        <v>99</v>
      </c>
      <c r="E26" s="30">
        <f>'066020'!C88</f>
        <v>43000335</v>
      </c>
      <c r="F26" s="30">
        <f>'066020'!D88</f>
        <v>97477115</v>
      </c>
      <c r="G26" s="30">
        <f>'066020'!E88</f>
        <v>35604017</v>
      </c>
      <c r="H26" s="54">
        <f t="shared" si="0"/>
        <v>0.36525513706473567</v>
      </c>
    </row>
    <row r="27" spans="2:8" x14ac:dyDescent="0.25">
      <c r="B27" s="33"/>
      <c r="C27" s="23" t="s">
        <v>100</v>
      </c>
      <c r="D27" s="26" t="s">
        <v>101</v>
      </c>
      <c r="E27" s="30">
        <f>'072111'!C12</f>
        <v>33820000</v>
      </c>
      <c r="F27" s="30">
        <f>'072111'!D12</f>
        <v>34391754</v>
      </c>
      <c r="G27" s="30">
        <f>'072111'!E12</f>
        <v>10198958</v>
      </c>
      <c r="H27" s="54">
        <f t="shared" si="0"/>
        <v>0.29655242358386258</v>
      </c>
    </row>
    <row r="28" spans="2:8" x14ac:dyDescent="0.25">
      <c r="B28" s="33"/>
      <c r="C28" s="23" t="s">
        <v>102</v>
      </c>
      <c r="D28" s="26" t="s">
        <v>103</v>
      </c>
      <c r="E28" s="30">
        <f>'072311'!C7</f>
        <v>240000</v>
      </c>
      <c r="F28" s="30">
        <f>'072311'!D7</f>
        <v>240000</v>
      </c>
      <c r="G28" s="30">
        <f>'072311'!E7</f>
        <v>120000</v>
      </c>
      <c r="H28" s="54">
        <f t="shared" si="0"/>
        <v>0.5</v>
      </c>
    </row>
    <row r="29" spans="2:8" x14ac:dyDescent="0.25">
      <c r="B29" s="33"/>
      <c r="C29" s="23" t="s">
        <v>104</v>
      </c>
      <c r="D29" s="26" t="s">
        <v>105</v>
      </c>
      <c r="E29" s="25">
        <f>'074031'!C30</f>
        <v>12154586</v>
      </c>
      <c r="F29" s="25">
        <f>'074031'!D30</f>
        <v>12154586</v>
      </c>
      <c r="G29" s="25">
        <f>'074031'!E30</f>
        <v>5364182</v>
      </c>
      <c r="H29" s="54">
        <f t="shared" si="0"/>
        <v>0.44132988157720882</v>
      </c>
    </row>
    <row r="30" spans="2:8" x14ac:dyDescent="0.25">
      <c r="B30" s="33"/>
      <c r="C30" s="23" t="s">
        <v>106</v>
      </c>
      <c r="D30" s="26" t="s">
        <v>107</v>
      </c>
      <c r="E30" s="25">
        <f>'081030'!C7</f>
        <v>23858000</v>
      </c>
      <c r="F30" s="25">
        <f>'081030'!D7</f>
        <v>23858000</v>
      </c>
      <c r="G30" s="25">
        <f>'081030'!E7</f>
        <v>11929000</v>
      </c>
      <c r="H30" s="54">
        <f t="shared" si="0"/>
        <v>0.5</v>
      </c>
    </row>
    <row r="31" spans="2:8" x14ac:dyDescent="0.25">
      <c r="B31" s="33"/>
      <c r="C31" s="23" t="s">
        <v>108</v>
      </c>
      <c r="D31" s="26" t="s">
        <v>109</v>
      </c>
      <c r="E31" s="25">
        <f>'082061'!C11</f>
        <v>76200</v>
      </c>
      <c r="F31" s="25">
        <f>'082061'!D11</f>
        <v>76200</v>
      </c>
      <c r="G31" s="25">
        <f>'082061'!E11</f>
        <v>64490</v>
      </c>
      <c r="H31" s="54">
        <f t="shared" si="0"/>
        <v>0.84632545931758529</v>
      </c>
    </row>
    <row r="32" spans="2:8" x14ac:dyDescent="0.25">
      <c r="B32" s="33"/>
      <c r="C32" s="34" t="s">
        <v>110</v>
      </c>
      <c r="D32" s="26" t="s">
        <v>111</v>
      </c>
      <c r="E32" s="25">
        <f>'096015'!C25</f>
        <v>103277811</v>
      </c>
      <c r="F32" s="25">
        <f>'096015'!D25</f>
        <v>103277811</v>
      </c>
      <c r="G32" s="25">
        <f>'096015'!E25</f>
        <v>58345264</v>
      </c>
      <c r="H32" s="54">
        <f t="shared" si="0"/>
        <v>0.56493513403377615</v>
      </c>
    </row>
    <row r="33" spans="2:8" x14ac:dyDescent="0.25">
      <c r="B33" s="33"/>
      <c r="C33" s="23" t="s">
        <v>112</v>
      </c>
      <c r="D33" s="26" t="s">
        <v>113</v>
      </c>
      <c r="E33" s="25">
        <f>'102023'!C9</f>
        <v>15535814</v>
      </c>
      <c r="F33" s="25">
        <f>'102023'!D9</f>
        <v>15535814</v>
      </c>
      <c r="G33" s="25">
        <f>'102023'!E9</f>
        <v>185400</v>
      </c>
      <c r="H33" s="54">
        <f t="shared" si="0"/>
        <v>1.1933716508191975E-2</v>
      </c>
    </row>
    <row r="34" spans="2:8" x14ac:dyDescent="0.25">
      <c r="B34" s="33"/>
      <c r="C34" s="34" t="s">
        <v>114</v>
      </c>
      <c r="D34" s="26" t="s">
        <v>115</v>
      </c>
      <c r="E34" s="25">
        <f>'104037'!C8</f>
        <v>2107500</v>
      </c>
      <c r="F34" s="25">
        <f>'104037'!D8</f>
        <v>2107500</v>
      </c>
      <c r="G34" s="25">
        <f>'104037'!E8</f>
        <v>259503</v>
      </c>
      <c r="H34" s="54">
        <f t="shared" si="0"/>
        <v>0.12313309608540925</v>
      </c>
    </row>
    <row r="35" spans="2:8" x14ac:dyDescent="0.25">
      <c r="B35" s="33"/>
      <c r="C35" s="23" t="s">
        <v>116</v>
      </c>
      <c r="D35" s="26" t="s">
        <v>117</v>
      </c>
      <c r="E35" s="25">
        <f>'107051'!C29</f>
        <v>84616112</v>
      </c>
      <c r="F35" s="98">
        <f>'107051'!D29</f>
        <v>84616112</v>
      </c>
      <c r="G35" s="25">
        <f>'107051'!E29</f>
        <v>34989899</v>
      </c>
      <c r="H35" s="54">
        <f t="shared" si="0"/>
        <v>0.41351343346997554</v>
      </c>
    </row>
    <row r="36" spans="2:8" x14ac:dyDescent="0.25">
      <c r="B36" s="33"/>
      <c r="C36" s="23" t="s">
        <v>118</v>
      </c>
      <c r="D36" s="26" t="s">
        <v>119</v>
      </c>
      <c r="E36" s="25">
        <f>'107052'!C30</f>
        <v>26624737</v>
      </c>
      <c r="F36" s="98">
        <f>'107052'!D30</f>
        <v>29825647</v>
      </c>
      <c r="G36" s="25">
        <f>'107052'!E30</f>
        <v>11121924</v>
      </c>
      <c r="H36" s="54">
        <f t="shared" si="0"/>
        <v>0.37289799614405683</v>
      </c>
    </row>
    <row r="37" spans="2:8" x14ac:dyDescent="0.25">
      <c r="B37" s="27"/>
      <c r="C37" s="23" t="s">
        <v>120</v>
      </c>
      <c r="D37" s="26" t="s">
        <v>121</v>
      </c>
      <c r="E37" s="25">
        <f>'107060'!C11</f>
        <v>12320000</v>
      </c>
      <c r="F37" s="25">
        <f>'107060'!D11</f>
        <v>11838690</v>
      </c>
      <c r="G37" s="25">
        <f>'107060'!E11</f>
        <v>4242705</v>
      </c>
      <c r="H37" s="54">
        <f t="shared" si="0"/>
        <v>0.35837622236919792</v>
      </c>
    </row>
    <row r="38" spans="2:8" x14ac:dyDescent="0.25">
      <c r="B38" s="27"/>
      <c r="C38" s="23" t="s">
        <v>122</v>
      </c>
      <c r="D38" s="26" t="s">
        <v>123</v>
      </c>
      <c r="E38" s="25">
        <f>'107080'!C7</f>
        <v>1035000</v>
      </c>
      <c r="F38" s="25">
        <f>'107080'!D7</f>
        <v>1035000</v>
      </c>
      <c r="G38" s="25">
        <f>'107080'!E7</f>
        <v>1035000</v>
      </c>
      <c r="H38" s="54">
        <f t="shared" si="0"/>
        <v>1</v>
      </c>
    </row>
    <row r="39" spans="2:8" x14ac:dyDescent="0.25">
      <c r="B39" s="33"/>
      <c r="C39" s="35"/>
      <c r="D39" s="26" t="s">
        <v>124</v>
      </c>
      <c r="E39" s="25">
        <f>Tartalékok!C14</f>
        <v>42131039</v>
      </c>
      <c r="F39" s="25">
        <f>Tartalékok!D14</f>
        <v>57546794</v>
      </c>
      <c r="G39" s="25">
        <f>Tartalékok!E14</f>
        <v>0</v>
      </c>
      <c r="H39" s="54">
        <f t="shared" si="0"/>
        <v>0</v>
      </c>
    </row>
    <row r="40" spans="2:8" ht="15.75" x14ac:dyDescent="0.25">
      <c r="B40" s="118" t="s">
        <v>125</v>
      </c>
      <c r="C40" s="119"/>
      <c r="D40" s="119"/>
      <c r="E40" s="36">
        <f>SUM(E6:E39)</f>
        <v>2472051922</v>
      </c>
      <c r="F40" s="36">
        <f t="shared" ref="F40:G40" si="1">SUM(F6:F39)</f>
        <v>2729891576</v>
      </c>
      <c r="G40" s="36">
        <f t="shared" si="1"/>
        <v>914083726</v>
      </c>
      <c r="H40" s="55">
        <f t="shared" ref="H40" si="2">G40/F40</f>
        <v>0.33484250218441641</v>
      </c>
    </row>
    <row r="41" spans="2:8" ht="15.75" x14ac:dyDescent="0.25">
      <c r="B41" s="68"/>
      <c r="C41" s="68"/>
      <c r="D41" s="68"/>
      <c r="E41" s="69"/>
      <c r="F41" s="70"/>
      <c r="G41" s="70"/>
      <c r="H41" s="71"/>
    </row>
    <row r="42" spans="2:8" s="67" customFormat="1" x14ac:dyDescent="0.25">
      <c r="B42" s="62"/>
      <c r="C42" s="63"/>
      <c r="D42" s="64" t="s">
        <v>411</v>
      </c>
      <c r="E42" s="65"/>
      <c r="F42" s="65"/>
      <c r="G42" s="88">
        <f>220000000+100000000</f>
        <v>320000000</v>
      </c>
      <c r="H42" s="66"/>
    </row>
    <row r="43" spans="2:8" s="53" customFormat="1" x14ac:dyDescent="0.25">
      <c r="B43" s="57"/>
      <c r="C43" s="58"/>
      <c r="D43" s="59" t="s">
        <v>404</v>
      </c>
      <c r="E43" s="60"/>
      <c r="F43" s="60"/>
      <c r="G43" s="60">
        <f>G40+G42</f>
        <v>1234083726</v>
      </c>
      <c r="H43" s="61"/>
    </row>
    <row r="44" spans="2:8" x14ac:dyDescent="0.25">
      <c r="B44" s="37"/>
      <c r="C44" s="38"/>
      <c r="D44" s="38"/>
      <c r="E44" s="39"/>
    </row>
    <row r="45" spans="2:8" x14ac:dyDescent="0.25">
      <c r="B45" s="16"/>
      <c r="C45" s="41" t="s">
        <v>58</v>
      </c>
      <c r="D45" s="17"/>
      <c r="E45" s="17"/>
    </row>
    <row r="46" spans="2:8" ht="22.5" x14ac:dyDescent="0.25">
      <c r="B46" s="18"/>
      <c r="C46" s="19" t="s">
        <v>60</v>
      </c>
      <c r="D46" s="20" t="s">
        <v>3</v>
      </c>
      <c r="E46" s="21" t="s">
        <v>126</v>
      </c>
      <c r="F46" s="21" t="s">
        <v>127</v>
      </c>
      <c r="G46" s="83" t="s">
        <v>556</v>
      </c>
      <c r="H46" s="21" t="s">
        <v>7</v>
      </c>
    </row>
    <row r="47" spans="2:8" ht="30" x14ac:dyDescent="0.25">
      <c r="B47" s="22"/>
      <c r="C47" s="23" t="s">
        <v>0</v>
      </c>
      <c r="D47" s="24" t="s">
        <v>61</v>
      </c>
      <c r="E47" s="25">
        <f>'011130'!C71</f>
        <v>68884186</v>
      </c>
      <c r="F47" s="25">
        <f>'011130'!D71</f>
        <v>9000000</v>
      </c>
      <c r="G47" s="25">
        <f>'011130'!E71</f>
        <v>3888166</v>
      </c>
      <c r="H47" s="54">
        <f t="shared" ref="H47:H69" si="3">G47/F47</f>
        <v>0.43201844444444443</v>
      </c>
    </row>
    <row r="48" spans="2:8" x14ac:dyDescent="0.25">
      <c r="B48" s="27"/>
      <c r="C48" s="23" t="s">
        <v>64</v>
      </c>
      <c r="D48" s="26" t="s">
        <v>65</v>
      </c>
      <c r="E48" s="25">
        <f>'013350'!C59</f>
        <v>14923736</v>
      </c>
      <c r="F48" s="25">
        <f>'013350'!D59</f>
        <v>30296588</v>
      </c>
      <c r="G48" s="25">
        <f>'013350'!E59</f>
        <v>24962917</v>
      </c>
      <c r="H48" s="54">
        <f t="shared" si="3"/>
        <v>0.82395142977816516</v>
      </c>
    </row>
    <row r="49" spans="2:8" x14ac:dyDescent="0.25">
      <c r="B49" s="28"/>
      <c r="C49" s="23" t="s">
        <v>177</v>
      </c>
      <c r="D49" s="26" t="s">
        <v>178</v>
      </c>
      <c r="E49" s="25">
        <f>'018010'!C20</f>
        <v>977890659</v>
      </c>
      <c r="F49" s="25">
        <f>'018010'!D20</f>
        <v>1037774845</v>
      </c>
      <c r="G49" s="25">
        <f>'018010'!E20</f>
        <v>538500182</v>
      </c>
      <c r="H49" s="54">
        <f t="shared" si="3"/>
        <v>0.51889885806588421</v>
      </c>
    </row>
    <row r="50" spans="2:8" x14ac:dyDescent="0.25">
      <c r="B50" s="28"/>
      <c r="C50" s="23" t="s">
        <v>68</v>
      </c>
      <c r="D50" s="26" t="s">
        <v>69</v>
      </c>
      <c r="E50" s="25">
        <f>'018030'!C19</f>
        <v>206014481</v>
      </c>
      <c r="F50" s="25">
        <f>'018030'!D19</f>
        <v>268183498</v>
      </c>
      <c r="G50" s="25">
        <f>'018030'!E19</f>
        <v>268183498</v>
      </c>
      <c r="H50" s="54">
        <f t="shared" si="3"/>
        <v>1</v>
      </c>
    </row>
    <row r="51" spans="2:8" x14ac:dyDescent="0.25">
      <c r="B51" s="22"/>
      <c r="C51" s="23" t="s">
        <v>74</v>
      </c>
      <c r="D51" s="26" t="s">
        <v>75</v>
      </c>
      <c r="E51" s="25">
        <f>'041232'!C43</f>
        <v>7017475</v>
      </c>
      <c r="F51" s="25">
        <f>'041232'!D43</f>
        <v>25295574</v>
      </c>
      <c r="G51" s="25">
        <f>'041232'!E43</f>
        <v>12488569</v>
      </c>
      <c r="H51" s="54">
        <f t="shared" si="3"/>
        <v>0.49370569728917796</v>
      </c>
    </row>
    <row r="52" spans="2:8" x14ac:dyDescent="0.25">
      <c r="B52" s="22"/>
      <c r="C52" s="23" t="s">
        <v>76</v>
      </c>
      <c r="D52" s="26" t="s">
        <v>77</v>
      </c>
      <c r="E52" s="25">
        <f>'041233'!C36</f>
        <v>21233331</v>
      </c>
      <c r="F52" s="25">
        <f>'041233'!D36</f>
        <v>97080890</v>
      </c>
      <c r="G52" s="25">
        <f>'041233'!E36</f>
        <v>66918329</v>
      </c>
      <c r="H52" s="54">
        <f t="shared" si="3"/>
        <v>0.68930485701150868</v>
      </c>
    </row>
    <row r="53" spans="2:8" x14ac:dyDescent="0.25">
      <c r="B53" s="22"/>
      <c r="C53" s="23" t="s">
        <v>78</v>
      </c>
      <c r="D53" s="26" t="s">
        <v>79</v>
      </c>
      <c r="E53" s="25">
        <f>'042130'!C18</f>
        <v>15300000</v>
      </c>
      <c r="F53" s="25">
        <f>'042130'!D18</f>
        <v>15680000</v>
      </c>
      <c r="G53" s="25">
        <f>'042130'!E18</f>
        <v>414493</v>
      </c>
      <c r="H53" s="54">
        <f t="shared" si="3"/>
        <v>2.6434502551020408E-2</v>
      </c>
    </row>
    <row r="54" spans="2:8" x14ac:dyDescent="0.25">
      <c r="B54" s="22"/>
      <c r="C54" s="29" t="s">
        <v>84</v>
      </c>
      <c r="D54" s="26" t="s">
        <v>85</v>
      </c>
      <c r="E54" s="30">
        <f>'049010'!C22</f>
        <v>8005338</v>
      </c>
      <c r="F54" s="30">
        <f>'049010'!D22</f>
        <v>8896982</v>
      </c>
      <c r="G54" s="30">
        <f>'049010'!E22</f>
        <v>9692700</v>
      </c>
      <c r="H54" s="54">
        <f t="shared" si="3"/>
        <v>1.089436844988559</v>
      </c>
    </row>
    <row r="55" spans="2:8" x14ac:dyDescent="0.25">
      <c r="B55" s="31"/>
      <c r="C55" s="29" t="s">
        <v>88</v>
      </c>
      <c r="D55" s="32" t="s">
        <v>89</v>
      </c>
      <c r="E55" s="30">
        <f>'051060'!C29</f>
        <v>127000</v>
      </c>
      <c r="F55" s="30">
        <f>'051060'!D29</f>
        <v>127000</v>
      </c>
      <c r="G55" s="30">
        <f>'051060'!E29</f>
        <v>15000</v>
      </c>
      <c r="H55" s="54">
        <f t="shared" si="3"/>
        <v>0.11811023622047244</v>
      </c>
    </row>
    <row r="56" spans="2:8" x14ac:dyDescent="0.25">
      <c r="B56" s="31"/>
      <c r="C56" s="29" t="s">
        <v>90</v>
      </c>
      <c r="D56" s="32" t="s">
        <v>91</v>
      </c>
      <c r="E56" s="30">
        <f>'052080'!C19</f>
        <v>0</v>
      </c>
      <c r="F56" s="30">
        <f>'052080'!D19</f>
        <v>0</v>
      </c>
      <c r="G56" s="30">
        <f>'052080'!E19</f>
        <v>172816</v>
      </c>
      <c r="H56" s="54"/>
    </row>
    <row r="57" spans="2:8" x14ac:dyDescent="0.25">
      <c r="B57" s="31"/>
      <c r="C57" s="29" t="s">
        <v>92</v>
      </c>
      <c r="D57" s="32" t="s">
        <v>93</v>
      </c>
      <c r="E57" s="30">
        <f>'062020'!C155</f>
        <v>756060436</v>
      </c>
      <c r="F57" s="30">
        <f>'062020'!D155</f>
        <v>824919459</v>
      </c>
      <c r="G57" s="30">
        <f>'062020'!E155</f>
        <v>9809695</v>
      </c>
      <c r="H57" s="54">
        <f t="shared" si="3"/>
        <v>1.1891700326589096E-2</v>
      </c>
    </row>
    <row r="58" spans="2:8" x14ac:dyDescent="0.25">
      <c r="B58" s="33"/>
      <c r="C58" s="23" t="s">
        <v>98</v>
      </c>
      <c r="D58" s="26" t="s">
        <v>99</v>
      </c>
      <c r="E58" s="30">
        <f>'066020'!C103</f>
        <v>11303000</v>
      </c>
      <c r="F58" s="30">
        <f>'066020'!D103</f>
        <v>11476174</v>
      </c>
      <c r="G58" s="30">
        <f>'066020'!E103</f>
        <v>3878533</v>
      </c>
      <c r="H58" s="54">
        <f t="shared" si="3"/>
        <v>0.3379639416411776</v>
      </c>
    </row>
    <row r="59" spans="2:8" x14ac:dyDescent="0.25">
      <c r="B59" s="33"/>
      <c r="C59" s="23" t="s">
        <v>100</v>
      </c>
      <c r="D59" s="26" t="s">
        <v>101</v>
      </c>
      <c r="E59" s="30">
        <f>'072111'!C20</f>
        <v>33000000</v>
      </c>
      <c r="F59" s="30">
        <f>'072111'!D20</f>
        <v>33571754</v>
      </c>
      <c r="G59" s="30">
        <f>'072111'!E20</f>
        <v>9548000</v>
      </c>
      <c r="H59" s="54">
        <f t="shared" si="3"/>
        <v>0.28440575371784266</v>
      </c>
    </row>
    <row r="60" spans="2:8" x14ac:dyDescent="0.25">
      <c r="B60" s="33"/>
      <c r="C60" s="23" t="s">
        <v>104</v>
      </c>
      <c r="D60" s="26" t="s">
        <v>105</v>
      </c>
      <c r="E60" s="25">
        <f>'074031'!C38</f>
        <v>11278800</v>
      </c>
      <c r="F60" s="25">
        <f>'074031'!D38</f>
        <v>11278800</v>
      </c>
      <c r="G60" s="25">
        <f>'074031'!E38</f>
        <v>5510400</v>
      </c>
      <c r="H60" s="54">
        <f t="shared" si="3"/>
        <v>0.48856261304394083</v>
      </c>
    </row>
    <row r="61" spans="2:8" x14ac:dyDescent="0.25">
      <c r="B61" s="33"/>
      <c r="C61" s="34" t="s">
        <v>110</v>
      </c>
      <c r="D61" s="26" t="s">
        <v>111</v>
      </c>
      <c r="E61" s="25">
        <f>'096015'!C33</f>
        <v>12145447</v>
      </c>
      <c r="F61" s="25">
        <f>'096015'!D33</f>
        <v>12145447</v>
      </c>
      <c r="G61" s="25">
        <f>'096015'!E33</f>
        <v>6676132</v>
      </c>
      <c r="H61" s="54">
        <f t="shared" si="3"/>
        <v>0.54968186844008293</v>
      </c>
    </row>
    <row r="62" spans="2:8" x14ac:dyDescent="0.25">
      <c r="B62" s="33"/>
      <c r="C62" s="34" t="s">
        <v>112</v>
      </c>
      <c r="D62" s="26" t="s">
        <v>631</v>
      </c>
      <c r="E62" s="25">
        <f>'102023'!C16</f>
        <v>0</v>
      </c>
      <c r="F62" s="25">
        <f>'102023'!D16</f>
        <v>273988</v>
      </c>
      <c r="G62" s="25">
        <f>'102023'!E16</f>
        <v>273988</v>
      </c>
      <c r="H62" s="54">
        <f t="shared" si="3"/>
        <v>1</v>
      </c>
    </row>
    <row r="63" spans="2:8" x14ac:dyDescent="0.25">
      <c r="B63" s="33"/>
      <c r="C63" s="34" t="s">
        <v>322</v>
      </c>
      <c r="D63" s="26" t="s">
        <v>323</v>
      </c>
      <c r="E63" s="25">
        <f>'104044'!C8</f>
        <v>12054000</v>
      </c>
      <c r="F63" s="25">
        <f>'104044'!D8</f>
        <v>12054000</v>
      </c>
      <c r="G63" s="25">
        <f>'104044'!E8</f>
        <v>6027000</v>
      </c>
      <c r="H63" s="54">
        <f t="shared" si="3"/>
        <v>0.5</v>
      </c>
    </row>
    <row r="64" spans="2:8" x14ac:dyDescent="0.25">
      <c r="B64" s="33"/>
      <c r="C64" s="23" t="s">
        <v>116</v>
      </c>
      <c r="D64" s="26" t="s">
        <v>117</v>
      </c>
      <c r="E64" s="25">
        <f>'107051'!C37</f>
        <v>44714033</v>
      </c>
      <c r="F64" s="25">
        <f>'107051'!D37</f>
        <v>44714033</v>
      </c>
      <c r="G64" s="25">
        <f>'107051'!E37</f>
        <v>19860480</v>
      </c>
      <c r="H64" s="54">
        <f t="shared" si="3"/>
        <v>0.4441665997786422</v>
      </c>
    </row>
    <row r="65" spans="2:8" x14ac:dyDescent="0.25">
      <c r="B65" s="33"/>
      <c r="C65" s="23" t="s">
        <v>118</v>
      </c>
      <c r="D65" s="26" t="s">
        <v>119</v>
      </c>
      <c r="E65" s="25">
        <f>'107052'!C37</f>
        <v>850000</v>
      </c>
      <c r="F65" s="25">
        <f>'107052'!D37</f>
        <v>850000</v>
      </c>
      <c r="G65" s="25">
        <f>'107052'!E37</f>
        <v>452230</v>
      </c>
      <c r="H65" s="54">
        <f t="shared" si="3"/>
        <v>0.53203529411764705</v>
      </c>
    </row>
    <row r="66" spans="2:8" x14ac:dyDescent="0.25">
      <c r="B66" s="27"/>
      <c r="C66" s="23" t="s">
        <v>120</v>
      </c>
      <c r="D66" s="26" t="s">
        <v>121</v>
      </c>
      <c r="E66" s="25">
        <f>'107060'!C17</f>
        <v>150000</v>
      </c>
      <c r="F66" s="25">
        <f>'107060'!D17</f>
        <v>755481</v>
      </c>
      <c r="G66" s="25">
        <f>'107060'!E17</f>
        <v>147500</v>
      </c>
      <c r="H66" s="54">
        <f t="shared" si="3"/>
        <v>0.19523985381498674</v>
      </c>
    </row>
    <row r="67" spans="2:8" ht="30" x14ac:dyDescent="0.25">
      <c r="B67" s="27"/>
      <c r="C67" s="23" t="s">
        <v>360</v>
      </c>
      <c r="D67" s="24" t="s">
        <v>731</v>
      </c>
      <c r="E67" s="25">
        <f>'900020'!C13</f>
        <v>269100000</v>
      </c>
      <c r="F67" s="25">
        <f>'900020'!D13</f>
        <v>283517063</v>
      </c>
      <c r="G67" s="25">
        <f>'900020'!E13</f>
        <v>199228017</v>
      </c>
      <c r="H67" s="54">
        <f t="shared" si="3"/>
        <v>0.70270203455091518</v>
      </c>
    </row>
    <row r="68" spans="2:8" x14ac:dyDescent="0.25">
      <c r="B68" s="27"/>
      <c r="C68" s="23" t="s">
        <v>374</v>
      </c>
      <c r="D68" s="26" t="s">
        <v>375</v>
      </c>
      <c r="E68" s="25">
        <f>'900060'!C7</f>
        <v>2000000</v>
      </c>
      <c r="F68" s="25">
        <f>'900060'!D7</f>
        <v>2000000</v>
      </c>
      <c r="G68" s="25">
        <f>'900060'!E7</f>
        <v>1466301</v>
      </c>
      <c r="H68" s="54">
        <f t="shared" si="3"/>
        <v>0.73315050000000004</v>
      </c>
    </row>
    <row r="69" spans="2:8" ht="15.75" x14ac:dyDescent="0.25">
      <c r="B69" s="118" t="s">
        <v>128</v>
      </c>
      <c r="C69" s="119"/>
      <c r="D69" s="119"/>
      <c r="E69" s="36">
        <f>SUM(E47:E68)</f>
        <v>2472051922</v>
      </c>
      <c r="F69" s="36">
        <f t="shared" ref="F69:G69" si="4">SUM(F47:F68)</f>
        <v>2729891576</v>
      </c>
      <c r="G69" s="36">
        <f t="shared" si="4"/>
        <v>1188114946</v>
      </c>
      <c r="H69" s="72">
        <f t="shared" si="3"/>
        <v>0.43522422518365983</v>
      </c>
    </row>
    <row r="71" spans="2:8" s="67" customFormat="1" x14ac:dyDescent="0.25">
      <c r="B71" s="62"/>
      <c r="C71" s="63"/>
      <c r="D71" s="64" t="s">
        <v>402</v>
      </c>
      <c r="E71" s="65"/>
      <c r="F71" s="65"/>
      <c r="G71" s="88">
        <f>130000000+80000000+10000000</f>
        <v>220000000</v>
      </c>
      <c r="H71" s="66"/>
    </row>
    <row r="72" spans="2:8" s="53" customFormat="1" x14ac:dyDescent="0.25">
      <c r="B72" s="57"/>
      <c r="C72" s="58"/>
      <c r="D72" s="59" t="s">
        <v>403</v>
      </c>
      <c r="E72" s="60"/>
      <c r="F72" s="60"/>
      <c r="G72" s="60">
        <f>G69+G71</f>
        <v>1408114946</v>
      </c>
      <c r="H72" s="61"/>
    </row>
  </sheetData>
  <mergeCells count="4">
    <mergeCell ref="B3:G3"/>
    <mergeCell ref="B1:G1"/>
    <mergeCell ref="B69:D69"/>
    <mergeCell ref="B40:D40"/>
  </mergeCells>
  <pageMargins left="0.7" right="0.7" top="0.75" bottom="0.75" header="0.3" footer="0.3"/>
  <pageSetup paperSize="9" scale="5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L470"/>
  <sheetViews>
    <sheetView topLeftCell="A5" zoomScaleNormal="100" workbookViewId="0">
      <selection activeCell="P42" sqref="P42"/>
    </sheetView>
  </sheetViews>
  <sheetFormatPr defaultRowHeight="15" x14ac:dyDescent="0.25"/>
  <cols>
    <col min="2" max="2" width="49.42578125" customWidth="1"/>
    <col min="3" max="3" width="12.28515625" customWidth="1"/>
    <col min="4" max="4" width="13.5703125" customWidth="1"/>
    <col min="5" max="5" width="12" bestFit="1" customWidth="1"/>
    <col min="6" max="6" width="14" bestFit="1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74</v>
      </c>
      <c r="B2" s="120" t="s">
        <v>75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</v>
      </c>
      <c r="B4" t="s">
        <v>598</v>
      </c>
      <c r="C4" s="3">
        <v>0</v>
      </c>
      <c r="D4" s="3">
        <f>18451259-111033</f>
        <v>18340226</v>
      </c>
      <c r="E4" s="3">
        <v>5847456</v>
      </c>
      <c r="F4" s="10">
        <f t="shared" ref="F4:F10" si="0">E4/D4</f>
        <v>0.31883227611262804</v>
      </c>
    </row>
    <row r="5" spans="1:12" x14ac:dyDescent="0.25">
      <c r="B5" t="s">
        <v>208</v>
      </c>
      <c r="C5" s="3">
        <v>5981220</v>
      </c>
      <c r="D5" s="3">
        <f>5981220-1487-53103</f>
        <v>5926630</v>
      </c>
      <c r="E5" s="3">
        <v>5898089</v>
      </c>
      <c r="F5" s="10">
        <f t="shared" si="0"/>
        <v>0.99518427841792045</v>
      </c>
    </row>
    <row r="6" spans="1:12" x14ac:dyDescent="0.25">
      <c r="A6" t="s">
        <v>8</v>
      </c>
      <c r="B6" t="s">
        <v>668</v>
      </c>
      <c r="C6" s="3"/>
      <c r="D6" s="3">
        <v>111033</v>
      </c>
      <c r="E6" s="3">
        <v>111033</v>
      </c>
      <c r="F6" s="10">
        <f t="shared" si="0"/>
        <v>1</v>
      </c>
    </row>
    <row r="7" spans="1:12" x14ac:dyDescent="0.25">
      <c r="A7" t="s">
        <v>8</v>
      </c>
      <c r="B7" t="s">
        <v>209</v>
      </c>
      <c r="C7" s="3"/>
      <c r="D7" s="3">
        <f>53103</f>
        <v>53103</v>
      </c>
      <c r="E7" s="3">
        <v>53103</v>
      </c>
      <c r="F7" s="10">
        <f t="shared" si="0"/>
        <v>1</v>
      </c>
    </row>
    <row r="8" spans="1:12" s="4" customFormat="1" x14ac:dyDescent="0.25">
      <c r="A8" s="4" t="s">
        <v>15</v>
      </c>
      <c r="B8" s="4" t="s">
        <v>16</v>
      </c>
      <c r="C8" s="5">
        <f>SUM(C4:C7)</f>
        <v>5981220</v>
      </c>
      <c r="D8" s="5">
        <f>SUM(D4:D7)</f>
        <v>24430992</v>
      </c>
      <c r="E8" s="5">
        <f>SUM(E4:E7)</f>
        <v>11909681</v>
      </c>
      <c r="F8" s="11">
        <f t="shared" ref="F8:F33" si="1">E8/D8</f>
        <v>0.48748249764070162</v>
      </c>
    </row>
    <row r="9" spans="1:12" s="4" customFormat="1" x14ac:dyDescent="0.25">
      <c r="B9" t="s">
        <v>601</v>
      </c>
      <c r="C9" s="3">
        <v>0</v>
      </c>
      <c r="D9" s="3">
        <v>1199332</v>
      </c>
      <c r="E9" s="3">
        <v>390032</v>
      </c>
      <c r="F9" s="10">
        <f t="shared" si="0"/>
        <v>0.32520769895241686</v>
      </c>
    </row>
    <row r="10" spans="1:12" s="4" customFormat="1" x14ac:dyDescent="0.25">
      <c r="B10" t="s">
        <v>210</v>
      </c>
      <c r="C10" s="3">
        <v>388779</v>
      </c>
      <c r="D10" s="3">
        <f>388779+1487</f>
        <v>390266</v>
      </c>
      <c r="E10" s="3">
        <v>390266</v>
      </c>
      <c r="F10" s="10">
        <f t="shared" si="0"/>
        <v>1</v>
      </c>
    </row>
    <row r="11" spans="1:12" s="4" customFormat="1" x14ac:dyDescent="0.25">
      <c r="B11"/>
      <c r="C11" s="3">
        <v>0</v>
      </c>
      <c r="D11" s="3">
        <v>0</v>
      </c>
      <c r="E11" s="3"/>
      <c r="F11" s="10"/>
    </row>
    <row r="12" spans="1:12" s="4" customFormat="1" x14ac:dyDescent="0.25">
      <c r="B12" t="s">
        <v>211</v>
      </c>
      <c r="C12" s="3">
        <v>0</v>
      </c>
      <c r="D12" s="3">
        <v>0</v>
      </c>
      <c r="E12" s="3">
        <v>0</v>
      </c>
      <c r="F12" s="10"/>
    </row>
    <row r="13" spans="1:12" s="4" customFormat="1" x14ac:dyDescent="0.25">
      <c r="A13" s="4" t="s">
        <v>17</v>
      </c>
      <c r="B13" s="4" t="s">
        <v>18</v>
      </c>
      <c r="C13" s="5">
        <f>SUM(C9:C12)</f>
        <v>388779</v>
      </c>
      <c r="D13" s="5">
        <f>SUM(D9:D12)</f>
        <v>1589598</v>
      </c>
      <c r="E13" s="5">
        <f t="shared" ref="E13" si="2">SUM(E9:E12)</f>
        <v>780298</v>
      </c>
      <c r="F13" s="11">
        <f t="shared" si="1"/>
        <v>0.49087756778757902</v>
      </c>
    </row>
    <row r="14" spans="1:12" x14ac:dyDescent="0.25">
      <c r="A14" t="s">
        <v>20</v>
      </c>
      <c r="B14" t="s">
        <v>603</v>
      </c>
      <c r="C14" s="3">
        <v>0</v>
      </c>
      <c r="D14" s="3">
        <v>156690</v>
      </c>
      <c r="E14" s="3"/>
      <c r="F14" s="10">
        <f t="shared" si="1"/>
        <v>0</v>
      </c>
    </row>
    <row r="15" spans="1:12" x14ac:dyDescent="0.25">
      <c r="B15" t="s">
        <v>604</v>
      </c>
      <c r="C15" s="3">
        <v>0</v>
      </c>
      <c r="D15" s="3">
        <v>321678</v>
      </c>
      <c r="E15" s="3"/>
      <c r="F15" s="10">
        <f t="shared" si="1"/>
        <v>0</v>
      </c>
    </row>
    <row r="16" spans="1:12" x14ac:dyDescent="0.25">
      <c r="B16" t="s">
        <v>606</v>
      </c>
      <c r="C16" s="3">
        <v>0</v>
      </c>
      <c r="D16" s="3">
        <v>51000</v>
      </c>
      <c r="E16" s="3">
        <v>51000</v>
      </c>
      <c r="F16" s="10">
        <f t="shared" si="1"/>
        <v>1</v>
      </c>
    </row>
    <row r="17" spans="1:6" x14ac:dyDescent="0.25">
      <c r="B17" t="s">
        <v>446</v>
      </c>
      <c r="C17" s="3">
        <v>456513</v>
      </c>
      <c r="D17" s="3">
        <v>456513</v>
      </c>
      <c r="E17" s="3">
        <v>399645</v>
      </c>
      <c r="F17" s="10">
        <f t="shared" si="1"/>
        <v>0.87542961536692276</v>
      </c>
    </row>
    <row r="18" spans="1:6" x14ac:dyDescent="0.25">
      <c r="B18" t="s">
        <v>605</v>
      </c>
      <c r="C18" s="3">
        <v>0</v>
      </c>
      <c r="D18" s="3">
        <v>1049606</v>
      </c>
      <c r="E18" s="3">
        <v>339091</v>
      </c>
      <c r="F18" s="10">
        <f t="shared" si="1"/>
        <v>0.32306503583249335</v>
      </c>
    </row>
    <row r="19" spans="1:6" x14ac:dyDescent="0.25">
      <c r="A19" t="s">
        <v>267</v>
      </c>
      <c r="B19" s="56" t="s">
        <v>669</v>
      </c>
      <c r="C19" s="3">
        <v>0</v>
      </c>
      <c r="D19" s="3">
        <v>0</v>
      </c>
      <c r="E19" s="3">
        <v>27500</v>
      </c>
      <c r="F19" s="10"/>
    </row>
    <row r="20" spans="1:6" x14ac:dyDescent="0.25">
      <c r="A20" t="s">
        <v>36</v>
      </c>
      <c r="B20" t="s">
        <v>607</v>
      </c>
      <c r="C20" s="3">
        <v>0</v>
      </c>
      <c r="D20" s="3">
        <v>240000</v>
      </c>
      <c r="E20" s="3"/>
      <c r="F20" s="10">
        <f t="shared" si="1"/>
        <v>0</v>
      </c>
    </row>
    <row r="21" spans="1:6" x14ac:dyDescent="0.25">
      <c r="B21" t="s">
        <v>212</v>
      </c>
      <c r="C21" s="3"/>
      <c r="D21" s="3"/>
      <c r="E21" s="3"/>
      <c r="F21" s="10"/>
    </row>
    <row r="22" spans="1:6" x14ac:dyDescent="0.25">
      <c r="A22" t="s">
        <v>44</v>
      </c>
      <c r="C22" s="3"/>
      <c r="D22" s="3"/>
      <c r="E22" s="3"/>
      <c r="F22" s="10"/>
    </row>
    <row r="23" spans="1:6" x14ac:dyDescent="0.25">
      <c r="A23" t="s">
        <v>44</v>
      </c>
      <c r="B23" t="s">
        <v>213</v>
      </c>
      <c r="C23" s="3">
        <v>123259</v>
      </c>
      <c r="D23" s="3">
        <v>123259</v>
      </c>
      <c r="E23" s="3">
        <v>107903</v>
      </c>
      <c r="F23" s="10">
        <f t="shared" ref="F23" si="3">E23/D23</f>
        <v>0.87541680526371302</v>
      </c>
    </row>
    <row r="24" spans="1:6" x14ac:dyDescent="0.25">
      <c r="B24" t="s">
        <v>608</v>
      </c>
      <c r="C24" s="3">
        <v>0</v>
      </c>
      <c r="D24" s="3">
        <v>491124</v>
      </c>
      <c r="E24" s="3">
        <v>112750</v>
      </c>
      <c r="F24" s="10">
        <f t="shared" si="1"/>
        <v>0.22957542290745311</v>
      </c>
    </row>
    <row r="25" spans="1:6" x14ac:dyDescent="0.25">
      <c r="A25" t="s">
        <v>48</v>
      </c>
      <c r="B25" t="s">
        <v>602</v>
      </c>
      <c r="C25" s="3">
        <v>0</v>
      </c>
      <c r="D25" s="3">
        <v>50000</v>
      </c>
      <c r="E25" s="3"/>
      <c r="F25" s="10">
        <f t="shared" si="1"/>
        <v>0</v>
      </c>
    </row>
    <row r="26" spans="1:6" s="4" customFormat="1" x14ac:dyDescent="0.25">
      <c r="A26" s="4" t="s">
        <v>52</v>
      </c>
      <c r="B26" s="4" t="s">
        <v>53</v>
      </c>
      <c r="C26" s="5">
        <f>SUM(C14:C25)</f>
        <v>579772</v>
      </c>
      <c r="D26" s="5">
        <f t="shared" ref="D26:E26" si="4">SUM(D14:D25)</f>
        <v>2939870</v>
      </c>
      <c r="E26" s="5">
        <f t="shared" si="4"/>
        <v>1037889</v>
      </c>
      <c r="F26" s="11">
        <f t="shared" si="1"/>
        <v>0.35303907995931794</v>
      </c>
    </row>
    <row r="27" spans="1:6" x14ac:dyDescent="0.25">
      <c r="A27" t="s">
        <v>281</v>
      </c>
      <c r="B27" t="s">
        <v>385</v>
      </c>
      <c r="C27" s="3">
        <v>0</v>
      </c>
      <c r="D27" s="3">
        <v>0</v>
      </c>
      <c r="E27" s="3"/>
      <c r="F27" s="10"/>
    </row>
    <row r="28" spans="1:6" x14ac:dyDescent="0.25">
      <c r="B28" t="s">
        <v>670</v>
      </c>
      <c r="C28" s="3">
        <v>0</v>
      </c>
      <c r="D28" s="3">
        <v>215600</v>
      </c>
      <c r="E28" s="3">
        <v>215600</v>
      </c>
      <c r="F28" s="10">
        <f t="shared" si="1"/>
        <v>1</v>
      </c>
    </row>
    <row r="29" spans="1:6" x14ac:dyDescent="0.25">
      <c r="A29" t="s">
        <v>231</v>
      </c>
      <c r="B29" t="s">
        <v>386</v>
      </c>
      <c r="C29" s="3">
        <v>0</v>
      </c>
      <c r="D29" s="3">
        <v>0</v>
      </c>
      <c r="E29" s="3"/>
      <c r="F29" s="10"/>
    </row>
    <row r="30" spans="1:6" x14ac:dyDescent="0.25">
      <c r="B30" t="s">
        <v>609</v>
      </c>
      <c r="C30" s="3">
        <v>0</v>
      </c>
      <c r="D30" s="3">
        <v>58212</v>
      </c>
      <c r="E30" s="3">
        <v>58212</v>
      </c>
      <c r="F30" s="10">
        <f t="shared" si="1"/>
        <v>1</v>
      </c>
    </row>
    <row r="31" spans="1:6" s="4" customFormat="1" x14ac:dyDescent="0.25">
      <c r="A31" s="4" t="s">
        <v>232</v>
      </c>
      <c r="B31" s="4" t="s">
        <v>387</v>
      </c>
      <c r="C31" s="5">
        <f>SUM(C27:C30)</f>
        <v>0</v>
      </c>
      <c r="D31" s="5">
        <f>SUM(D27:D30)</f>
        <v>273812</v>
      </c>
      <c r="E31" s="5">
        <f>SUM(E27:E30)</f>
        <v>273812</v>
      </c>
      <c r="F31" s="11">
        <f t="shared" si="1"/>
        <v>1</v>
      </c>
    </row>
    <row r="32" spans="1:6" x14ac:dyDescent="0.25">
      <c r="C32" s="3"/>
      <c r="D32" s="3"/>
      <c r="E32" s="3"/>
      <c r="F32" s="10"/>
    </row>
    <row r="33" spans="1:6" s="8" customFormat="1" ht="15.75" x14ac:dyDescent="0.25">
      <c r="B33" s="8" t="s">
        <v>57</v>
      </c>
      <c r="C33" s="9">
        <f>C26+C13+C31+C8</f>
        <v>6949771</v>
      </c>
      <c r="D33" s="9">
        <f>D26+D13+D31+D8</f>
        <v>29234272</v>
      </c>
      <c r="E33" s="9">
        <f t="shared" ref="E33" si="5">E26+E13+E31+E8</f>
        <v>14001680</v>
      </c>
      <c r="F33" s="11">
        <f t="shared" si="1"/>
        <v>0.47894744907620757</v>
      </c>
    </row>
    <row r="34" spans="1:6" x14ac:dyDescent="0.25">
      <c r="C34" s="3"/>
      <c r="D34" s="3"/>
      <c r="E34" s="3"/>
    </row>
    <row r="35" spans="1:6" x14ac:dyDescent="0.25">
      <c r="C35" s="3"/>
      <c r="D35" s="3"/>
      <c r="E35" s="3"/>
    </row>
    <row r="36" spans="1:6" ht="15.75" x14ac:dyDescent="0.25">
      <c r="B36" s="42" t="s">
        <v>58</v>
      </c>
      <c r="C36" s="3"/>
      <c r="D36" s="3"/>
      <c r="E36" s="3"/>
    </row>
    <row r="37" spans="1:6" x14ac:dyDescent="0.25">
      <c r="C37" s="3"/>
      <c r="D37" s="3"/>
      <c r="E37" s="3"/>
    </row>
    <row r="38" spans="1:6" x14ac:dyDescent="0.25">
      <c r="A38" t="s">
        <v>214</v>
      </c>
      <c r="B38" t="s">
        <v>599</v>
      </c>
      <c r="C38" s="3">
        <v>0</v>
      </c>
      <c r="D38" s="3">
        <f>22010689</f>
        <v>22010689</v>
      </c>
      <c r="E38" s="3">
        <v>9581699</v>
      </c>
      <c r="F38" s="10">
        <f t="shared" ref="F38:F39" si="6">E38/D38</f>
        <v>0.43532026643963756</v>
      </c>
    </row>
    <row r="39" spans="1:6" x14ac:dyDescent="0.25">
      <c r="B39" t="s">
        <v>388</v>
      </c>
      <c r="C39" s="3">
        <v>7017475</v>
      </c>
      <c r="D39" s="3">
        <f>7017475-4006402</f>
        <v>3011073</v>
      </c>
      <c r="E39" s="3">
        <v>2906869</v>
      </c>
      <c r="F39" s="10">
        <f t="shared" si="6"/>
        <v>0.96539306752111287</v>
      </c>
    </row>
    <row r="40" spans="1:6" x14ac:dyDescent="0.25">
      <c r="A40" t="s">
        <v>253</v>
      </c>
      <c r="B40" t="s">
        <v>389</v>
      </c>
      <c r="C40" s="3">
        <v>0</v>
      </c>
      <c r="D40" s="3">
        <v>0</v>
      </c>
      <c r="E40" s="3">
        <v>0</v>
      </c>
      <c r="F40" s="10"/>
    </row>
    <row r="41" spans="1:6" x14ac:dyDescent="0.25">
      <c r="B41" t="s">
        <v>600</v>
      </c>
      <c r="C41" s="3">
        <v>0</v>
      </c>
      <c r="D41" s="3">
        <v>273812</v>
      </c>
      <c r="E41" s="3">
        <v>0</v>
      </c>
      <c r="F41" s="10"/>
    </row>
    <row r="42" spans="1:6" x14ac:dyDescent="0.25">
      <c r="A42" t="s">
        <v>129</v>
      </c>
      <c r="B42" t="s">
        <v>215</v>
      </c>
      <c r="C42" s="3">
        <v>0</v>
      </c>
      <c r="D42" s="3">
        <v>0</v>
      </c>
      <c r="E42" s="3">
        <v>1</v>
      </c>
      <c r="F42" s="10"/>
    </row>
    <row r="43" spans="1:6" s="8" customFormat="1" ht="15.75" x14ac:dyDescent="0.25">
      <c r="B43" s="8" t="s">
        <v>131</v>
      </c>
      <c r="C43" s="9">
        <f>SUM(C38:C42)</f>
        <v>7017475</v>
      </c>
      <c r="D43" s="9">
        <f t="shared" ref="D43:E43" si="7">SUM(D38:D42)</f>
        <v>25295574</v>
      </c>
      <c r="E43" s="9">
        <f t="shared" si="7"/>
        <v>12488569</v>
      </c>
      <c r="F43" s="11">
        <f t="shared" ref="F43" si="8">E43/D43</f>
        <v>0.49370569728917796</v>
      </c>
    </row>
    <row r="44" spans="1:6" x14ac:dyDescent="0.25">
      <c r="C44" s="3"/>
      <c r="D44" s="3"/>
      <c r="E44" s="3"/>
    </row>
    <row r="45" spans="1:6" x14ac:dyDescent="0.25">
      <c r="C45" s="3"/>
      <c r="D45" s="3"/>
      <c r="E45" s="3"/>
    </row>
    <row r="46" spans="1:6" x14ac:dyDescent="0.25">
      <c r="C46" s="3"/>
      <c r="D46" s="3"/>
      <c r="E46" s="3"/>
    </row>
    <row r="47" spans="1:6" x14ac:dyDescent="0.25">
      <c r="C47" s="3"/>
      <c r="D47" s="3"/>
      <c r="E47" s="3"/>
    </row>
    <row r="48" spans="1:6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  <row r="466" spans="3:5" x14ac:dyDescent="0.25">
      <c r="C466" s="3"/>
      <c r="D466" s="3"/>
      <c r="E466" s="3"/>
    </row>
    <row r="467" spans="3:5" x14ac:dyDescent="0.25">
      <c r="C467" s="3"/>
      <c r="D467" s="3"/>
      <c r="E467" s="3"/>
    </row>
    <row r="468" spans="3:5" x14ac:dyDescent="0.25">
      <c r="C468" s="3"/>
      <c r="D468" s="3"/>
      <c r="E468" s="3"/>
    </row>
    <row r="469" spans="3:5" x14ac:dyDescent="0.25">
      <c r="C469" s="3"/>
      <c r="D469" s="3"/>
      <c r="E469" s="3"/>
    </row>
    <row r="470" spans="3:5" x14ac:dyDescent="0.25">
      <c r="C470" s="3"/>
      <c r="D470" s="3"/>
      <c r="E470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L463"/>
  <sheetViews>
    <sheetView topLeftCell="A13" zoomScaleNormal="100" workbookViewId="0">
      <selection activeCell="L23" sqref="L23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76</v>
      </c>
      <c r="B2" s="120" t="s">
        <v>77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</v>
      </c>
      <c r="B4" t="s">
        <v>447</v>
      </c>
      <c r="C4" s="3">
        <v>17816400</v>
      </c>
      <c r="D4" s="3">
        <f>17816400-8489-12734-123463</f>
        <v>17671714</v>
      </c>
      <c r="E4" s="3">
        <f>17168634</f>
        <v>17168634</v>
      </c>
      <c r="F4" s="10">
        <f>E4/D4</f>
        <v>0.97153190686540081</v>
      </c>
    </row>
    <row r="5" spans="1:12" x14ac:dyDescent="0.25">
      <c r="B5" t="s">
        <v>448</v>
      </c>
      <c r="C5" s="3">
        <v>2121000</v>
      </c>
      <c r="D5" s="3">
        <f>2121000-50890-25445</f>
        <v>2044665</v>
      </c>
      <c r="E5" s="3">
        <v>1906693</v>
      </c>
      <c r="F5" s="10">
        <f t="shared" ref="F5:F25" si="0">E5/D5</f>
        <v>0.93252097531869527</v>
      </c>
    </row>
    <row r="6" spans="1:12" x14ac:dyDescent="0.25">
      <c r="B6" t="s">
        <v>589</v>
      </c>
      <c r="C6" s="3">
        <v>0</v>
      </c>
      <c r="D6" s="3">
        <f>69792000-226251</f>
        <v>69565749</v>
      </c>
      <c r="E6" s="3">
        <f>25150012-10001</f>
        <v>25140011</v>
      </c>
      <c r="F6" s="10">
        <f t="shared" si="0"/>
        <v>0.36138489646679434</v>
      </c>
    </row>
    <row r="7" spans="1:12" x14ac:dyDescent="0.25">
      <c r="A7" t="s">
        <v>8</v>
      </c>
      <c r="B7" t="s">
        <v>449</v>
      </c>
      <c r="C7" s="3">
        <v>0</v>
      </c>
      <c r="D7" s="3">
        <f>8489+12734+123463</f>
        <v>144686</v>
      </c>
      <c r="E7" s="3">
        <v>144686</v>
      </c>
      <c r="F7" s="10">
        <f t="shared" si="0"/>
        <v>1</v>
      </c>
    </row>
    <row r="8" spans="1:12" x14ac:dyDescent="0.25">
      <c r="A8" t="s">
        <v>8</v>
      </c>
      <c r="B8" t="s">
        <v>450</v>
      </c>
      <c r="C8" s="3">
        <v>0</v>
      </c>
      <c r="D8" s="3">
        <f>50890+25445</f>
        <v>76335</v>
      </c>
      <c r="E8" s="3">
        <v>76335</v>
      </c>
      <c r="F8" s="10">
        <f t="shared" si="0"/>
        <v>1</v>
      </c>
    </row>
    <row r="9" spans="1:12" x14ac:dyDescent="0.25">
      <c r="A9" t="s">
        <v>8</v>
      </c>
      <c r="B9" t="s">
        <v>672</v>
      </c>
      <c r="C9" s="3">
        <v>0</v>
      </c>
      <c r="D9" s="3">
        <v>226251</v>
      </c>
      <c r="E9" s="3">
        <v>226251</v>
      </c>
      <c r="F9" s="10">
        <f t="shared" ref="F9" si="1">E9/D9</f>
        <v>1</v>
      </c>
    </row>
    <row r="10" spans="1:12" s="4" customFormat="1" x14ac:dyDescent="0.25">
      <c r="A10" s="4" t="s">
        <v>15</v>
      </c>
      <c r="B10" s="4" t="s">
        <v>16</v>
      </c>
      <c r="C10" s="5">
        <f>SUM(C4:C9)</f>
        <v>19937400</v>
      </c>
      <c r="D10" s="5">
        <f t="shared" ref="D10:E10" si="2">SUM(D4:D9)</f>
        <v>89729400</v>
      </c>
      <c r="E10" s="5">
        <f t="shared" si="2"/>
        <v>44662610</v>
      </c>
      <c r="F10" s="11">
        <f t="shared" si="0"/>
        <v>0.49774778389245888</v>
      </c>
    </row>
    <row r="11" spans="1:12" s="4" customFormat="1" x14ac:dyDescent="0.25">
      <c r="B11" t="s">
        <v>451</v>
      </c>
      <c r="C11" s="3">
        <v>1158066</v>
      </c>
      <c r="D11" s="3">
        <v>1158066</v>
      </c>
      <c r="E11" s="3">
        <v>1134722</v>
      </c>
      <c r="F11" s="10">
        <f t="shared" si="0"/>
        <v>0.9798422542411227</v>
      </c>
    </row>
    <row r="12" spans="1:12" s="4" customFormat="1" x14ac:dyDescent="0.25">
      <c r="B12" t="s">
        <v>452</v>
      </c>
      <c r="C12" s="3">
        <v>137865</v>
      </c>
      <c r="D12" s="3">
        <v>137865</v>
      </c>
      <c r="E12" s="3">
        <v>133856</v>
      </c>
      <c r="F12" s="10">
        <f t="shared" si="0"/>
        <v>0.9709208283465709</v>
      </c>
    </row>
    <row r="13" spans="1:12" s="4" customFormat="1" x14ac:dyDescent="0.25">
      <c r="B13" t="s">
        <v>590</v>
      </c>
      <c r="C13" s="3">
        <v>0</v>
      </c>
      <c r="D13" s="3">
        <v>4536480</v>
      </c>
      <c r="E13" s="3">
        <v>1677584</v>
      </c>
      <c r="F13" s="10">
        <f t="shared" si="0"/>
        <v>0.369798610376327</v>
      </c>
    </row>
    <row r="14" spans="1:12" s="4" customFormat="1" x14ac:dyDescent="0.25">
      <c r="B14" t="s">
        <v>671</v>
      </c>
      <c r="C14" s="3"/>
      <c r="D14" s="3"/>
      <c r="E14" s="3">
        <v>3097</v>
      </c>
      <c r="F14" s="10"/>
    </row>
    <row r="15" spans="1:12" s="4" customFormat="1" x14ac:dyDescent="0.25">
      <c r="B15" t="s">
        <v>673</v>
      </c>
      <c r="C15" s="3"/>
      <c r="D15" s="3"/>
      <c r="E15" s="3">
        <v>15635</v>
      </c>
      <c r="F15" s="10"/>
    </row>
    <row r="16" spans="1:12" s="4" customFormat="1" x14ac:dyDescent="0.25">
      <c r="A16" s="4" t="s">
        <v>17</v>
      </c>
      <c r="B16" s="4" t="s">
        <v>18</v>
      </c>
      <c r="C16" s="5">
        <f>SUM(C11:C15)</f>
        <v>1295931</v>
      </c>
      <c r="D16" s="5">
        <f>SUM(D11:D15)</f>
        <v>5832411</v>
      </c>
      <c r="E16" s="5">
        <f t="shared" ref="E16" si="3">SUM(E11:E15)</f>
        <v>2964894</v>
      </c>
      <c r="F16" s="10">
        <f t="shared" si="0"/>
        <v>0.50834791992539619</v>
      </c>
    </row>
    <row r="17" spans="1:6" x14ac:dyDescent="0.25">
      <c r="A17" t="s">
        <v>20</v>
      </c>
      <c r="B17" t="s">
        <v>591</v>
      </c>
      <c r="C17" s="3">
        <v>0</v>
      </c>
      <c r="D17" s="3">
        <v>520000</v>
      </c>
      <c r="E17" s="3"/>
      <c r="F17" s="10">
        <f t="shared" si="0"/>
        <v>0</v>
      </c>
    </row>
    <row r="18" spans="1:6" x14ac:dyDescent="0.25">
      <c r="B18" t="s">
        <v>592</v>
      </c>
      <c r="C18" s="3">
        <v>0</v>
      </c>
      <c r="D18" s="3">
        <v>510460</v>
      </c>
      <c r="E18" s="3">
        <f>430460</f>
        <v>430460</v>
      </c>
      <c r="F18" s="10">
        <f t="shared" si="0"/>
        <v>0.84327861144849747</v>
      </c>
    </row>
    <row r="19" spans="1:6" x14ac:dyDescent="0.25">
      <c r="A19" t="s">
        <v>44</v>
      </c>
      <c r="B19" t="s">
        <v>593</v>
      </c>
      <c r="C19" s="3">
        <v>0</v>
      </c>
      <c r="D19" s="3">
        <v>278224</v>
      </c>
      <c r="E19" s="3">
        <v>116224</v>
      </c>
      <c r="F19" s="10">
        <f t="shared" si="0"/>
        <v>0.41773534993386624</v>
      </c>
    </row>
    <row r="20" spans="1:6" x14ac:dyDescent="0.25">
      <c r="A20" t="s">
        <v>48</v>
      </c>
      <c r="B20" t="s">
        <v>674</v>
      </c>
      <c r="C20" s="3">
        <v>0</v>
      </c>
      <c r="D20" s="3">
        <v>0</v>
      </c>
      <c r="E20" s="3">
        <v>3</v>
      </c>
      <c r="F20" s="10"/>
    </row>
    <row r="21" spans="1:6" s="4" customFormat="1" x14ac:dyDescent="0.25">
      <c r="A21" s="4" t="s">
        <v>52</v>
      </c>
      <c r="B21" s="4" t="s">
        <v>594</v>
      </c>
      <c r="C21" s="5">
        <f>SUM(C17:C20)</f>
        <v>0</v>
      </c>
      <c r="D21" s="5">
        <f t="shared" ref="D21:E21" si="4">SUM(D17:D20)</f>
        <v>1308684</v>
      </c>
      <c r="E21" s="5">
        <f t="shared" si="4"/>
        <v>546687</v>
      </c>
      <c r="F21" s="10">
        <f t="shared" si="0"/>
        <v>0.41773797188626133</v>
      </c>
    </row>
    <row r="22" spans="1:6" x14ac:dyDescent="0.25">
      <c r="A22" t="s">
        <v>281</v>
      </c>
      <c r="B22" t="s">
        <v>596</v>
      </c>
      <c r="C22" s="3">
        <v>0</v>
      </c>
      <c r="D22" s="3">
        <v>725000</v>
      </c>
      <c r="E22" s="3">
        <f>105000+53574+157480</f>
        <v>316054</v>
      </c>
      <c r="F22" s="10">
        <f t="shared" si="0"/>
        <v>0.43593655172413792</v>
      </c>
    </row>
    <row r="23" spans="1:6" x14ac:dyDescent="0.25">
      <c r="A23" t="s">
        <v>231</v>
      </c>
      <c r="B23" t="s">
        <v>595</v>
      </c>
      <c r="C23" s="3">
        <v>0</v>
      </c>
      <c r="D23" s="3">
        <v>195750</v>
      </c>
      <c r="E23" s="3">
        <f>28350+14465+42520</f>
        <v>85335</v>
      </c>
      <c r="F23" s="10">
        <f t="shared" si="0"/>
        <v>0.43593869731800766</v>
      </c>
    </row>
    <row r="24" spans="1:6" s="4" customFormat="1" x14ac:dyDescent="0.25">
      <c r="A24" s="4" t="s">
        <v>232</v>
      </c>
      <c r="B24" s="4" t="s">
        <v>597</v>
      </c>
      <c r="C24" s="5">
        <f>SUM(C22:C23)</f>
        <v>0</v>
      </c>
      <c r="D24" s="5">
        <f t="shared" ref="D24:E24" si="5">SUM(D22:D23)</f>
        <v>920750</v>
      </c>
      <c r="E24" s="5">
        <f t="shared" si="5"/>
        <v>401389</v>
      </c>
      <c r="F24" s="10">
        <f t="shared" si="0"/>
        <v>0.43593700787401574</v>
      </c>
    </row>
    <row r="25" spans="1:6" s="8" customFormat="1" ht="15.75" x14ac:dyDescent="0.25">
      <c r="B25" s="8" t="s">
        <v>57</v>
      </c>
      <c r="C25" s="9">
        <f>C16+C10+C21+C24</f>
        <v>21233331</v>
      </c>
      <c r="D25" s="9">
        <f t="shared" ref="D25:E25" si="6">D16+D10+D21+D24</f>
        <v>97791245</v>
      </c>
      <c r="E25" s="9">
        <f t="shared" si="6"/>
        <v>48575580</v>
      </c>
      <c r="F25" s="11">
        <f t="shared" si="0"/>
        <v>0.49672728882836087</v>
      </c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ht="15.75" x14ac:dyDescent="0.25">
      <c r="B28" s="42" t="s">
        <v>58</v>
      </c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A30" t="s">
        <v>214</v>
      </c>
      <c r="B30" t="s">
        <v>559</v>
      </c>
      <c r="C30" s="3">
        <v>18974466</v>
      </c>
      <c r="D30" s="3">
        <v>18974466</v>
      </c>
      <c r="E30" s="3">
        <v>18438681</v>
      </c>
      <c r="F30" s="10">
        <f t="shared" ref="F30:F33" si="7">E30/D30</f>
        <v>0.9717628417052685</v>
      </c>
    </row>
    <row r="31" spans="1:6" x14ac:dyDescent="0.25">
      <c r="B31" t="s">
        <v>560</v>
      </c>
      <c r="C31" s="3">
        <v>2258865</v>
      </c>
      <c r="D31" s="3">
        <f>2258865-710355</f>
        <v>1548510</v>
      </c>
      <c r="E31" s="3">
        <v>1398262</v>
      </c>
      <c r="F31" s="10">
        <f t="shared" si="7"/>
        <v>0.90297253488837659</v>
      </c>
    </row>
    <row r="32" spans="1:6" x14ac:dyDescent="0.25">
      <c r="B32" t="s">
        <v>587</v>
      </c>
      <c r="C32" s="3">
        <v>0</v>
      </c>
      <c r="D32" s="3">
        <v>75637164</v>
      </c>
      <c r="E32" s="3">
        <f>32063062+3630798+7734092+3653429</f>
        <v>47081381</v>
      </c>
      <c r="F32" s="10">
        <f t="shared" si="7"/>
        <v>0.62246359474821134</v>
      </c>
    </row>
    <row r="33" spans="1:6" x14ac:dyDescent="0.25">
      <c r="A33" t="s">
        <v>253</v>
      </c>
      <c r="B33" t="s">
        <v>588</v>
      </c>
      <c r="C33" s="3">
        <v>0</v>
      </c>
      <c r="D33" s="3">
        <v>920750</v>
      </c>
      <c r="E33" s="3">
        <v>0</v>
      </c>
      <c r="F33" s="10">
        <f t="shared" si="7"/>
        <v>0</v>
      </c>
    </row>
    <row r="34" spans="1:6" x14ac:dyDescent="0.25">
      <c r="A34" t="s">
        <v>377</v>
      </c>
      <c r="B34" t="s">
        <v>719</v>
      </c>
      <c r="C34" s="3">
        <v>0</v>
      </c>
      <c r="D34" s="3">
        <v>0</v>
      </c>
      <c r="E34" s="3">
        <v>5</v>
      </c>
      <c r="F34" s="10"/>
    </row>
    <row r="35" spans="1:6" x14ac:dyDescent="0.25">
      <c r="A35" t="s">
        <v>129</v>
      </c>
      <c r="B35" t="s">
        <v>215</v>
      </c>
      <c r="C35" s="3"/>
      <c r="D35" s="3"/>
      <c r="E35" s="3"/>
    </row>
    <row r="36" spans="1:6" s="8" customFormat="1" ht="15.75" x14ac:dyDescent="0.25">
      <c r="B36" s="8" t="s">
        <v>131</v>
      </c>
      <c r="C36" s="9">
        <f>SUM(C30:C35)</f>
        <v>21233331</v>
      </c>
      <c r="D36" s="9">
        <f>SUM(D30:D35)</f>
        <v>97080890</v>
      </c>
      <c r="E36" s="9">
        <f>SUM(E30:E35)</f>
        <v>66918329</v>
      </c>
      <c r="F36" s="11">
        <f t="shared" ref="F36" si="8">E36/D36</f>
        <v>0.68930485701150868</v>
      </c>
    </row>
    <row r="37" spans="1:6" x14ac:dyDescent="0.25">
      <c r="C37" s="3"/>
      <c r="D37" s="3"/>
      <c r="E37" s="3"/>
    </row>
    <row r="38" spans="1:6" x14ac:dyDescent="0.25">
      <c r="C38" s="3"/>
      <c r="D38" s="3"/>
      <c r="E38" s="3"/>
    </row>
    <row r="39" spans="1:6" x14ac:dyDescent="0.25">
      <c r="C39" s="3"/>
      <c r="D39" s="3"/>
      <c r="E39" s="3"/>
    </row>
    <row r="40" spans="1:6" x14ac:dyDescent="0.25">
      <c r="C40" s="3"/>
      <c r="D40" s="3"/>
      <c r="E40" s="3"/>
    </row>
    <row r="41" spans="1:6" x14ac:dyDescent="0.25">
      <c r="C41" s="3"/>
      <c r="D41" s="3"/>
      <c r="E41" s="3"/>
    </row>
    <row r="42" spans="1:6" x14ac:dyDescent="0.25">
      <c r="C42" s="3"/>
      <c r="D42" s="3"/>
      <c r="E42" s="3"/>
    </row>
    <row r="43" spans="1:6" x14ac:dyDescent="0.25">
      <c r="C43" s="3"/>
      <c r="D43" s="3"/>
      <c r="E43" s="3"/>
    </row>
    <row r="44" spans="1:6" x14ac:dyDescent="0.25">
      <c r="C44" s="3"/>
      <c r="D44" s="3"/>
      <c r="E44" s="3"/>
    </row>
    <row r="45" spans="1:6" x14ac:dyDescent="0.25">
      <c r="C45" s="3"/>
      <c r="D45" s="3"/>
      <c r="E45" s="3"/>
    </row>
    <row r="46" spans="1:6" x14ac:dyDescent="0.25">
      <c r="C46" s="3"/>
      <c r="D46" s="3"/>
      <c r="E46" s="3"/>
    </row>
    <row r="47" spans="1:6" x14ac:dyDescent="0.25">
      <c r="C47" s="3"/>
      <c r="D47" s="3"/>
      <c r="E47" s="3"/>
    </row>
    <row r="48" spans="1:6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L445"/>
  <sheetViews>
    <sheetView zoomScaleNormal="100" workbookViewId="0">
      <selection activeCell="F22" sqref="F22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78</v>
      </c>
      <c r="B2" s="120" t="s">
        <v>79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20</v>
      </c>
      <c r="B4" t="s">
        <v>216</v>
      </c>
      <c r="C4" s="3">
        <v>5984252</v>
      </c>
      <c r="D4" s="3">
        <v>5984252</v>
      </c>
      <c r="E4" s="3">
        <v>1592085</v>
      </c>
      <c r="F4" s="10">
        <f t="shared" ref="F4:F10" si="0">E4/D4</f>
        <v>0.26604578149449587</v>
      </c>
    </row>
    <row r="5" spans="1:12" x14ac:dyDescent="0.25">
      <c r="A5" t="s">
        <v>36</v>
      </c>
      <c r="B5" t="s">
        <v>217</v>
      </c>
      <c r="C5" s="3">
        <v>5984252</v>
      </c>
      <c r="D5" s="3">
        <v>5984252</v>
      </c>
      <c r="E5" s="3">
        <v>3368217</v>
      </c>
      <c r="F5" s="10">
        <f t="shared" si="0"/>
        <v>0.56284678519554321</v>
      </c>
    </row>
    <row r="6" spans="1:12" x14ac:dyDescent="0.25">
      <c r="A6" t="s">
        <v>44</v>
      </c>
      <c r="B6" t="s">
        <v>45</v>
      </c>
      <c r="C6" s="3">
        <v>3231496</v>
      </c>
      <c r="D6" s="3">
        <v>3231496</v>
      </c>
      <c r="E6" s="3">
        <v>1339281</v>
      </c>
      <c r="F6" s="10">
        <f t="shared" si="0"/>
        <v>0.41444612649992452</v>
      </c>
    </row>
    <row r="7" spans="1:12" x14ac:dyDescent="0.25">
      <c r="A7" t="s">
        <v>48</v>
      </c>
      <c r="B7" t="s">
        <v>218</v>
      </c>
      <c r="C7" s="3">
        <v>48000</v>
      </c>
      <c r="D7" s="3">
        <v>48000</v>
      </c>
      <c r="E7" s="3">
        <v>0</v>
      </c>
      <c r="F7" s="10">
        <f t="shared" si="0"/>
        <v>0</v>
      </c>
    </row>
    <row r="8" spans="1:12" s="4" customFormat="1" x14ac:dyDescent="0.25">
      <c r="A8" s="4" t="s">
        <v>52</v>
      </c>
      <c r="B8" s="4" t="s">
        <v>53</v>
      </c>
      <c r="C8" s="5">
        <f>SUM(C4:C7)</f>
        <v>15248000</v>
      </c>
      <c r="D8" s="5">
        <f>SUM(D4:D7)</f>
        <v>15248000</v>
      </c>
      <c r="E8" s="5">
        <f>SUM(E4:E7)</f>
        <v>6299583</v>
      </c>
      <c r="F8" s="11">
        <f t="shared" si="0"/>
        <v>0.41314159233997899</v>
      </c>
    </row>
    <row r="9" spans="1:12" x14ac:dyDescent="0.25">
      <c r="C9" s="3"/>
      <c r="D9" s="3"/>
      <c r="E9" s="3"/>
      <c r="F9" s="10"/>
    </row>
    <row r="10" spans="1:12" s="8" customFormat="1" ht="15.75" x14ac:dyDescent="0.25">
      <c r="B10" s="8" t="s">
        <v>57</v>
      </c>
      <c r="C10" s="9">
        <f>C8</f>
        <v>15248000</v>
      </c>
      <c r="D10" s="9">
        <f>D8</f>
        <v>15248000</v>
      </c>
      <c r="E10" s="9">
        <f>E8</f>
        <v>6299583</v>
      </c>
      <c r="F10" s="11">
        <f t="shared" si="0"/>
        <v>0.41314159233997899</v>
      </c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ht="15.75" x14ac:dyDescent="0.25">
      <c r="B13" s="42" t="s">
        <v>58</v>
      </c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A15" t="s">
        <v>214</v>
      </c>
      <c r="B15" t="s">
        <v>221</v>
      </c>
      <c r="C15" s="3">
        <v>2100000</v>
      </c>
      <c r="D15" s="3">
        <v>2100000</v>
      </c>
      <c r="E15" s="3">
        <v>34493</v>
      </c>
      <c r="F15" s="10">
        <f t="shared" ref="F15:F16" si="1">E15/D15</f>
        <v>1.6425238095238097E-2</v>
      </c>
    </row>
    <row r="16" spans="1:12" x14ac:dyDescent="0.25">
      <c r="A16" t="s">
        <v>219</v>
      </c>
      <c r="B16" t="s">
        <v>220</v>
      </c>
      <c r="C16" s="3">
        <v>13200000</v>
      </c>
      <c r="D16" s="3">
        <v>13200000</v>
      </c>
      <c r="E16" s="3"/>
      <c r="F16" s="10">
        <f t="shared" si="1"/>
        <v>0</v>
      </c>
    </row>
    <row r="17" spans="1:6" x14ac:dyDescent="0.25">
      <c r="A17" t="s">
        <v>129</v>
      </c>
      <c r="B17" t="s">
        <v>401</v>
      </c>
      <c r="C17" s="3">
        <v>0</v>
      </c>
      <c r="D17" s="3">
        <v>380000</v>
      </c>
      <c r="E17" s="3">
        <v>380000</v>
      </c>
      <c r="F17" s="10"/>
    </row>
    <row r="18" spans="1:6" s="8" customFormat="1" ht="15.75" x14ac:dyDescent="0.25">
      <c r="B18" s="8" t="s">
        <v>131</v>
      </c>
      <c r="C18" s="9">
        <f>SUM(C15:C17)</f>
        <v>15300000</v>
      </c>
      <c r="D18" s="9">
        <f t="shared" ref="D18:E18" si="2">SUM(D15:D17)</f>
        <v>15680000</v>
      </c>
      <c r="E18" s="9">
        <f t="shared" si="2"/>
        <v>414493</v>
      </c>
      <c r="F18" s="11">
        <f t="shared" ref="F18" si="3">E18/D18</f>
        <v>2.6434502551020408E-2</v>
      </c>
    </row>
    <row r="19" spans="1:6" x14ac:dyDescent="0.25">
      <c r="C19" s="3"/>
      <c r="D19" s="3"/>
      <c r="E19" s="3"/>
    </row>
    <row r="20" spans="1:6" x14ac:dyDescent="0.25">
      <c r="C20" s="3"/>
      <c r="D20" s="3"/>
      <c r="E20" s="3"/>
    </row>
    <row r="21" spans="1:6" x14ac:dyDescent="0.25">
      <c r="C21" s="3"/>
      <c r="D21" s="3"/>
      <c r="E21" s="3"/>
    </row>
    <row r="22" spans="1:6" x14ac:dyDescent="0.25">
      <c r="C22" s="3"/>
      <c r="D22" s="3"/>
      <c r="E22" s="3"/>
    </row>
    <row r="23" spans="1:6" x14ac:dyDescent="0.25">
      <c r="C23" s="3"/>
      <c r="D23" s="3"/>
      <c r="E23" s="3"/>
    </row>
    <row r="24" spans="1:6" x14ac:dyDescent="0.25">
      <c r="C24" s="3"/>
      <c r="D24" s="3"/>
      <c r="E24" s="3"/>
    </row>
    <row r="25" spans="1:6" x14ac:dyDescent="0.25">
      <c r="C25" s="3"/>
      <c r="D25" s="3"/>
      <c r="E25" s="3"/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x14ac:dyDescent="0.25"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L444"/>
  <sheetViews>
    <sheetView zoomScaleNormal="100" workbookViewId="0">
      <selection activeCell="E20" sqref="E20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A1" s="7">
        <v>0</v>
      </c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80</v>
      </c>
      <c r="B2" s="120" t="s">
        <v>81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20</v>
      </c>
      <c r="B4" t="s">
        <v>222</v>
      </c>
      <c r="C4" s="3">
        <v>1574803</v>
      </c>
      <c r="D4" s="3">
        <v>1574803</v>
      </c>
      <c r="E4" s="3">
        <v>1503937</v>
      </c>
      <c r="F4" s="10">
        <f t="shared" ref="F4:F15" si="0">E4/D4</f>
        <v>0.95500008572500816</v>
      </c>
    </row>
    <row r="5" spans="1:12" x14ac:dyDescent="0.25">
      <c r="B5" s="56" t="s">
        <v>675</v>
      </c>
      <c r="C5" s="3">
        <v>0</v>
      </c>
      <c r="D5" s="3">
        <v>112700</v>
      </c>
      <c r="E5" s="3">
        <v>112700</v>
      </c>
      <c r="F5" s="10">
        <f t="shared" si="0"/>
        <v>1</v>
      </c>
    </row>
    <row r="6" spans="1:12" x14ac:dyDescent="0.25">
      <c r="A6" t="s">
        <v>30</v>
      </c>
      <c r="B6" t="s">
        <v>453</v>
      </c>
      <c r="C6" s="3">
        <v>520000</v>
      </c>
      <c r="D6" s="3">
        <v>520000</v>
      </c>
      <c r="E6" s="3">
        <v>520000</v>
      </c>
      <c r="F6" s="10">
        <f t="shared" si="0"/>
        <v>1</v>
      </c>
    </row>
    <row r="7" spans="1:12" x14ac:dyDescent="0.25">
      <c r="A7" t="s">
        <v>44</v>
      </c>
      <c r="B7" t="s">
        <v>45</v>
      </c>
      <c r="C7" s="3">
        <v>425197</v>
      </c>
      <c r="D7" s="3">
        <v>425197</v>
      </c>
      <c r="E7" s="3">
        <v>406063</v>
      </c>
      <c r="F7" s="10">
        <f t="shared" si="0"/>
        <v>0.95499968250011169</v>
      </c>
    </row>
    <row r="8" spans="1:12" s="4" customFormat="1" x14ac:dyDescent="0.25">
      <c r="A8" s="4" t="s">
        <v>52</v>
      </c>
      <c r="B8" s="4" t="s">
        <v>53</v>
      </c>
      <c r="C8" s="5">
        <f>SUM(C4:C7)</f>
        <v>2520000</v>
      </c>
      <c r="D8" s="5">
        <f>SUM(D4:D7)</f>
        <v>2632700</v>
      </c>
      <c r="E8" s="5">
        <f>SUM(E4:E7)</f>
        <v>2542700</v>
      </c>
      <c r="F8" s="11">
        <f t="shared" si="0"/>
        <v>0.96581456299616364</v>
      </c>
    </row>
    <row r="9" spans="1:12" x14ac:dyDescent="0.25">
      <c r="A9" t="s">
        <v>407</v>
      </c>
      <c r="B9" t="s">
        <v>676</v>
      </c>
      <c r="C9" s="3">
        <v>0</v>
      </c>
      <c r="D9" s="3">
        <v>331597</v>
      </c>
      <c r="E9" s="3">
        <v>331597</v>
      </c>
      <c r="F9" s="10">
        <f t="shared" si="0"/>
        <v>1</v>
      </c>
    </row>
    <row r="10" spans="1:12" s="4" customFormat="1" x14ac:dyDescent="0.25">
      <c r="A10" s="4" t="s">
        <v>232</v>
      </c>
      <c r="B10" s="4" t="s">
        <v>465</v>
      </c>
      <c r="C10" s="5">
        <f>SUM(C9)</f>
        <v>0</v>
      </c>
      <c r="D10" s="5">
        <f t="shared" ref="D10:E10" si="1">SUM(D9)</f>
        <v>331597</v>
      </c>
      <c r="E10" s="5">
        <f t="shared" si="1"/>
        <v>331597</v>
      </c>
      <c r="F10" s="11">
        <f t="shared" si="0"/>
        <v>1</v>
      </c>
    </row>
    <row r="11" spans="1:12" x14ac:dyDescent="0.25">
      <c r="A11" t="s">
        <v>153</v>
      </c>
      <c r="C11" s="3"/>
      <c r="D11" s="3"/>
      <c r="E11" s="3"/>
      <c r="F11" s="11"/>
    </row>
    <row r="12" spans="1:12" x14ac:dyDescent="0.25">
      <c r="A12" t="s">
        <v>154</v>
      </c>
      <c r="B12" t="s">
        <v>223</v>
      </c>
      <c r="C12" s="3"/>
      <c r="D12" s="3"/>
      <c r="E12" s="3"/>
      <c r="F12" s="11"/>
    </row>
    <row r="13" spans="1:12" s="4" customFormat="1" x14ac:dyDescent="0.25">
      <c r="A13" s="4" t="s">
        <v>155</v>
      </c>
      <c r="B13" s="4" t="s">
        <v>224</v>
      </c>
      <c r="C13" s="5">
        <f>SUM(C11:C12)</f>
        <v>0</v>
      </c>
      <c r="D13" s="5">
        <f>SUM(D11:D12)</f>
        <v>0</v>
      </c>
      <c r="E13" s="5">
        <f>SUM(E11:E12)</f>
        <v>0</v>
      </c>
      <c r="F13" s="11"/>
    </row>
    <row r="14" spans="1:12" x14ac:dyDescent="0.25">
      <c r="C14" s="3"/>
      <c r="D14" s="3"/>
      <c r="E14" s="3"/>
      <c r="F14" s="10"/>
    </row>
    <row r="15" spans="1:12" s="8" customFormat="1" ht="15.75" x14ac:dyDescent="0.25">
      <c r="B15" s="8" t="s">
        <v>57</v>
      </c>
      <c r="C15" s="9">
        <f>C13+C8+C10</f>
        <v>2520000</v>
      </c>
      <c r="D15" s="9">
        <f>D13+D8+D10</f>
        <v>2964297</v>
      </c>
      <c r="E15" s="9">
        <f>E13+E8+E10</f>
        <v>2874297</v>
      </c>
      <c r="F15" s="11">
        <f t="shared" si="0"/>
        <v>0.96963866980940172</v>
      </c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L437"/>
  <sheetViews>
    <sheetView zoomScaleNormal="100" workbookViewId="0">
      <selection activeCell="C16" sqref="C16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82</v>
      </c>
      <c r="B2" s="120" t="s">
        <v>225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36</v>
      </c>
      <c r="B4" t="s">
        <v>226</v>
      </c>
      <c r="C4" s="3">
        <v>393701</v>
      </c>
      <c r="D4" s="3">
        <v>393701</v>
      </c>
      <c r="E4" s="3"/>
      <c r="F4" s="10">
        <f t="shared" ref="F4:F8" si="0">E4/D4</f>
        <v>0</v>
      </c>
    </row>
    <row r="5" spans="1:12" x14ac:dyDescent="0.25">
      <c r="A5" t="s">
        <v>44</v>
      </c>
      <c r="B5" t="s">
        <v>45</v>
      </c>
      <c r="C5" s="3">
        <v>106299</v>
      </c>
      <c r="D5" s="3">
        <v>106299</v>
      </c>
      <c r="E5" s="3"/>
      <c r="F5" s="10">
        <f t="shared" si="0"/>
        <v>0</v>
      </c>
    </row>
    <row r="6" spans="1:12" s="4" customFormat="1" x14ac:dyDescent="0.25">
      <c r="A6" s="4" t="s">
        <v>52</v>
      </c>
      <c r="B6" s="4" t="s">
        <v>53</v>
      </c>
      <c r="C6" s="5">
        <f>SUM(C4:C5)</f>
        <v>500000</v>
      </c>
      <c r="D6" s="5">
        <f>SUM(D4:D5)</f>
        <v>500000</v>
      </c>
      <c r="E6" s="5">
        <f>SUM(E4:E5)</f>
        <v>0</v>
      </c>
      <c r="F6" s="11">
        <f t="shared" si="0"/>
        <v>0</v>
      </c>
    </row>
    <row r="7" spans="1:12" x14ac:dyDescent="0.25">
      <c r="C7" s="3"/>
      <c r="D7" s="3"/>
      <c r="E7" s="3"/>
      <c r="F7" s="10"/>
    </row>
    <row r="8" spans="1:12" s="8" customFormat="1" ht="15.75" x14ac:dyDescent="0.25">
      <c r="B8" s="8" t="s">
        <v>57</v>
      </c>
      <c r="C8" s="9">
        <f>SUM(C6)</f>
        <v>500000</v>
      </c>
      <c r="D8" s="9">
        <f t="shared" ref="D8:E8" si="1">SUM(D6)</f>
        <v>500000</v>
      </c>
      <c r="E8" s="9">
        <f t="shared" si="1"/>
        <v>0</v>
      </c>
      <c r="F8" s="11">
        <f t="shared" si="0"/>
        <v>0</v>
      </c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L449"/>
  <sheetViews>
    <sheetView zoomScaleNormal="100" workbookViewId="0">
      <selection activeCell="D20" sqref="D20"/>
    </sheetView>
  </sheetViews>
  <sheetFormatPr defaultRowHeight="15" x14ac:dyDescent="0.25"/>
  <cols>
    <col min="2" max="2" width="51.5703125" customWidth="1"/>
    <col min="3" max="3" width="14.7109375" customWidth="1"/>
    <col min="4" max="4" width="13.5703125" customWidth="1"/>
    <col min="5" max="5" width="13.7109375" customWidth="1"/>
    <col min="6" max="6" width="12.42578125" customWidth="1"/>
    <col min="7" max="7" width="15.140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84</v>
      </c>
      <c r="B2" s="120" t="s">
        <v>85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138</v>
      </c>
      <c r="B4" t="s">
        <v>677</v>
      </c>
      <c r="C4" s="3">
        <v>0</v>
      </c>
      <c r="D4" s="3">
        <v>562978</v>
      </c>
      <c r="E4" s="3">
        <v>581645</v>
      </c>
      <c r="F4" s="10">
        <f t="shared" ref="F4:F14" si="0">E4/D4</f>
        <v>1.0331576011851262</v>
      </c>
    </row>
    <row r="5" spans="1:12" x14ac:dyDescent="0.25">
      <c r="A5" t="s">
        <v>142</v>
      </c>
      <c r="B5" t="s">
        <v>678</v>
      </c>
      <c r="C5" s="3">
        <v>0</v>
      </c>
      <c r="D5" s="3">
        <v>139104</v>
      </c>
      <c r="E5" s="3">
        <v>139104</v>
      </c>
      <c r="F5" s="10">
        <f t="shared" si="0"/>
        <v>1</v>
      </c>
    </row>
    <row r="6" spans="1:12" x14ac:dyDescent="0.25">
      <c r="A6" t="s">
        <v>30</v>
      </c>
      <c r="B6" t="s">
        <v>227</v>
      </c>
      <c r="C6" s="3">
        <v>55000</v>
      </c>
      <c r="D6" s="3">
        <v>55000</v>
      </c>
      <c r="E6" s="3">
        <v>55000</v>
      </c>
      <c r="F6" s="10">
        <f t="shared" si="0"/>
        <v>1</v>
      </c>
    </row>
    <row r="7" spans="1:12" x14ac:dyDescent="0.25">
      <c r="B7" t="s">
        <v>228</v>
      </c>
      <c r="C7" s="3">
        <v>60000</v>
      </c>
      <c r="D7" s="3">
        <v>60000</v>
      </c>
      <c r="E7" s="3">
        <v>0</v>
      </c>
      <c r="F7" s="10">
        <f t="shared" si="0"/>
        <v>0</v>
      </c>
    </row>
    <row r="8" spans="1:12" x14ac:dyDescent="0.25">
      <c r="B8" t="s">
        <v>454</v>
      </c>
      <c r="C8" s="3">
        <v>55000</v>
      </c>
      <c r="D8" s="3">
        <v>55000</v>
      </c>
      <c r="E8" s="3">
        <v>50000</v>
      </c>
      <c r="F8" s="10">
        <f t="shared" ref="F8" si="1">E8/D8</f>
        <v>0.90909090909090906</v>
      </c>
    </row>
    <row r="9" spans="1:12" x14ac:dyDescent="0.25">
      <c r="A9" t="s">
        <v>36</v>
      </c>
      <c r="B9" t="s">
        <v>455</v>
      </c>
      <c r="C9" s="3">
        <v>550000</v>
      </c>
      <c r="D9" s="3">
        <v>550000</v>
      </c>
      <c r="E9" s="3">
        <v>275617</v>
      </c>
      <c r="F9" s="10">
        <f t="shared" si="0"/>
        <v>0.50112181818181822</v>
      </c>
    </row>
    <row r="10" spans="1:12" x14ac:dyDescent="0.25">
      <c r="A10" t="s">
        <v>44</v>
      </c>
      <c r="B10" t="s">
        <v>45</v>
      </c>
      <c r="C10" s="3">
        <v>45900</v>
      </c>
      <c r="D10" s="3">
        <v>235462</v>
      </c>
      <c r="E10" s="3">
        <f>13500+194330</f>
        <v>207830</v>
      </c>
      <c r="F10" s="10">
        <f t="shared" si="0"/>
        <v>0.8826477308440428</v>
      </c>
    </row>
    <row r="11" spans="1:12" x14ac:dyDescent="0.25">
      <c r="A11" t="s">
        <v>48</v>
      </c>
      <c r="B11" t="s">
        <v>384</v>
      </c>
      <c r="C11" s="3">
        <v>0</v>
      </c>
      <c r="D11" s="3">
        <v>0</v>
      </c>
      <c r="E11" s="3"/>
      <c r="F11" s="10"/>
    </row>
    <row r="12" spans="1:12" s="4" customFormat="1" x14ac:dyDescent="0.25">
      <c r="A12" s="4" t="s">
        <v>52</v>
      </c>
      <c r="B12" s="4" t="s">
        <v>53</v>
      </c>
      <c r="C12" s="5">
        <f>SUM(C4:C11)</f>
        <v>765900</v>
      </c>
      <c r="D12" s="5">
        <f t="shared" ref="D12:E12" si="2">SUM(D4:D11)</f>
        <v>1657544</v>
      </c>
      <c r="E12" s="5">
        <f t="shared" si="2"/>
        <v>1309196</v>
      </c>
      <c r="F12" s="11">
        <f t="shared" si="0"/>
        <v>0.7898408730024663</v>
      </c>
    </row>
    <row r="13" spans="1:12" x14ac:dyDescent="0.25">
      <c r="C13" s="3"/>
      <c r="D13" s="3"/>
      <c r="E13" s="3"/>
      <c r="F13" s="10"/>
    </row>
    <row r="14" spans="1:12" s="8" customFormat="1" ht="15.75" x14ac:dyDescent="0.25">
      <c r="B14" s="8" t="s">
        <v>57</v>
      </c>
      <c r="C14" s="9">
        <f>C12</f>
        <v>765900</v>
      </c>
      <c r="D14" s="9">
        <f t="shared" ref="D14:E14" si="3">D12</f>
        <v>1657544</v>
      </c>
      <c r="E14" s="9">
        <f t="shared" si="3"/>
        <v>1309196</v>
      </c>
      <c r="F14" s="11">
        <f t="shared" si="0"/>
        <v>0.7898408730024663</v>
      </c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1:7" ht="15.75" x14ac:dyDescent="0.25">
      <c r="B17" s="42" t="s">
        <v>58</v>
      </c>
      <c r="C17" s="3"/>
      <c r="D17" s="3"/>
      <c r="E17" s="3"/>
    </row>
    <row r="18" spans="1:7" x14ac:dyDescent="0.25">
      <c r="C18" s="3"/>
      <c r="D18" s="3"/>
      <c r="E18" s="3"/>
    </row>
    <row r="19" spans="1:7" x14ac:dyDescent="0.25">
      <c r="A19" t="s">
        <v>162</v>
      </c>
      <c r="B19" t="s">
        <v>234</v>
      </c>
      <c r="C19" s="3">
        <v>99000</v>
      </c>
      <c r="D19" s="3">
        <v>99000</v>
      </c>
      <c r="E19" s="3">
        <v>49500</v>
      </c>
      <c r="F19" s="10">
        <f t="shared" ref="F19:F21" si="4">E19/D19</f>
        <v>0.5</v>
      </c>
    </row>
    <row r="20" spans="1:7" x14ac:dyDescent="0.25">
      <c r="B20" s="43" t="s">
        <v>235</v>
      </c>
      <c r="C20" s="3">
        <v>3202338</v>
      </c>
      <c r="D20" s="3">
        <f>3202338+891644</f>
        <v>4093982</v>
      </c>
      <c r="E20" s="3">
        <v>4939200</v>
      </c>
      <c r="F20" s="10">
        <f t="shared" si="4"/>
        <v>1.2064537655514851</v>
      </c>
      <c r="G20" s="106" t="s">
        <v>720</v>
      </c>
    </row>
    <row r="21" spans="1:7" x14ac:dyDescent="0.25">
      <c r="B21" t="s">
        <v>236</v>
      </c>
      <c r="C21" s="3">
        <v>4704000</v>
      </c>
      <c r="D21" s="3">
        <v>4704000</v>
      </c>
      <c r="E21" s="3">
        <v>4704000</v>
      </c>
      <c r="F21" s="10">
        <f t="shared" si="4"/>
        <v>1</v>
      </c>
      <c r="G21" s="106" t="s">
        <v>720</v>
      </c>
    </row>
    <row r="22" spans="1:7" s="8" customFormat="1" ht="15.75" x14ac:dyDescent="0.25">
      <c r="B22" s="8" t="s">
        <v>131</v>
      </c>
      <c r="C22" s="9">
        <f>SUM(C19:C21)</f>
        <v>8005338</v>
      </c>
      <c r="D22" s="9">
        <f>SUM(D19:D21)</f>
        <v>8896982</v>
      </c>
      <c r="E22" s="9">
        <f>SUM(E19:E21)</f>
        <v>9692700</v>
      </c>
      <c r="F22" s="11">
        <f t="shared" ref="F22" si="5">E22/D22</f>
        <v>1.089436844988559</v>
      </c>
    </row>
    <row r="23" spans="1:7" x14ac:dyDescent="0.25">
      <c r="C23" s="3"/>
      <c r="D23" s="3"/>
      <c r="E23" s="3"/>
    </row>
    <row r="24" spans="1:7" x14ac:dyDescent="0.25">
      <c r="C24" s="3"/>
      <c r="D24" s="3"/>
      <c r="E24" s="3"/>
    </row>
    <row r="25" spans="1:7" x14ac:dyDescent="0.25">
      <c r="C25" s="3"/>
      <c r="D25" s="3"/>
      <c r="E25" s="3"/>
    </row>
    <row r="26" spans="1:7" x14ac:dyDescent="0.25">
      <c r="C26" s="3"/>
      <c r="D26" s="3"/>
      <c r="E26" s="3"/>
    </row>
    <row r="27" spans="1:7" x14ac:dyDescent="0.25">
      <c r="C27" s="3"/>
      <c r="D27" s="3"/>
      <c r="E27" s="3"/>
    </row>
    <row r="28" spans="1:7" x14ac:dyDescent="0.25">
      <c r="C28" s="3"/>
      <c r="D28" s="3"/>
      <c r="E28" s="3"/>
    </row>
    <row r="29" spans="1:7" x14ac:dyDescent="0.25">
      <c r="C29" s="3"/>
      <c r="D29" s="3"/>
      <c r="E29" s="3"/>
    </row>
    <row r="30" spans="1:7" x14ac:dyDescent="0.25">
      <c r="C30" s="3"/>
      <c r="D30" s="3"/>
      <c r="E30" s="3"/>
    </row>
    <row r="31" spans="1:7" x14ac:dyDescent="0.25">
      <c r="C31" s="3"/>
      <c r="D31" s="3"/>
      <c r="E31" s="3"/>
    </row>
    <row r="32" spans="1:7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</sheetData>
  <mergeCells count="1">
    <mergeCell ref="B2:F2"/>
  </mergeCells>
  <pageMargins left="0.7" right="0.7" top="0.75" bottom="0.75" header="0.3" footer="0.3"/>
  <pageSetup paperSize="9" scale="6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L441"/>
  <sheetViews>
    <sheetView zoomScaleNormal="100" workbookViewId="0">
      <selection activeCell="F9" sqref="F9"/>
    </sheetView>
  </sheetViews>
  <sheetFormatPr defaultRowHeight="15" x14ac:dyDescent="0.25"/>
  <cols>
    <col min="2" max="2" width="49.8554687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86</v>
      </c>
      <c r="B2" s="120" t="s">
        <v>87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267</v>
      </c>
      <c r="B4" t="s">
        <v>419</v>
      </c>
      <c r="C4" s="3">
        <v>20000</v>
      </c>
      <c r="D4" s="3">
        <v>20000</v>
      </c>
      <c r="E4" s="3">
        <f>37500+35000</f>
        <v>72500</v>
      </c>
      <c r="F4" s="10">
        <f t="shared" ref="F4:F13" si="0">E4/D4</f>
        <v>3.625</v>
      </c>
    </row>
    <row r="5" spans="1:12" x14ac:dyDescent="0.25">
      <c r="A5" t="s">
        <v>36</v>
      </c>
      <c r="B5" t="s">
        <v>237</v>
      </c>
      <c r="C5" s="3">
        <v>1023622</v>
      </c>
      <c r="D5" s="3">
        <v>1023622</v>
      </c>
      <c r="E5" s="3">
        <v>150072</v>
      </c>
      <c r="F5" s="10">
        <f t="shared" si="0"/>
        <v>0.14660880676656032</v>
      </c>
    </row>
    <row r="6" spans="1:12" x14ac:dyDescent="0.25">
      <c r="B6" t="s">
        <v>238</v>
      </c>
      <c r="C6" s="3">
        <v>472441</v>
      </c>
      <c r="D6" s="3">
        <v>472441</v>
      </c>
      <c r="E6" s="3">
        <v>1276040</v>
      </c>
      <c r="F6" s="10">
        <f t="shared" si="0"/>
        <v>2.7009510182223813</v>
      </c>
    </row>
    <row r="7" spans="1:12" x14ac:dyDescent="0.25">
      <c r="B7" t="s">
        <v>417</v>
      </c>
      <c r="C7" s="3">
        <v>6767112</v>
      </c>
      <c r="D7" s="3">
        <v>6767112</v>
      </c>
      <c r="E7" s="3">
        <f>6015545+751514</f>
        <v>6767059</v>
      </c>
      <c r="F7" s="10">
        <f t="shared" si="0"/>
        <v>0.9999921680031304</v>
      </c>
    </row>
    <row r="8" spans="1:12" x14ac:dyDescent="0.25">
      <c r="A8" t="s">
        <v>48</v>
      </c>
      <c r="B8" t="s">
        <v>456</v>
      </c>
      <c r="C8" s="3">
        <v>569000</v>
      </c>
      <c r="D8" s="3">
        <v>569000</v>
      </c>
      <c r="E8" s="3"/>
      <c r="F8" s="10">
        <f t="shared" si="0"/>
        <v>0</v>
      </c>
    </row>
    <row r="9" spans="1:12" x14ac:dyDescent="0.25">
      <c r="A9" t="s">
        <v>44</v>
      </c>
      <c r="B9" t="s">
        <v>45</v>
      </c>
      <c r="C9" s="3">
        <v>562967</v>
      </c>
      <c r="D9" s="3">
        <v>562967</v>
      </c>
      <c r="E9" s="3">
        <v>404627</v>
      </c>
      <c r="F9" s="10">
        <f t="shared" si="0"/>
        <v>0.7187401748237463</v>
      </c>
    </row>
    <row r="10" spans="1:12" x14ac:dyDescent="0.25">
      <c r="B10" t="s">
        <v>418</v>
      </c>
      <c r="C10" s="3">
        <v>1827120</v>
      </c>
      <c r="D10" s="3">
        <v>1827120</v>
      </c>
      <c r="E10" s="3">
        <v>1827106</v>
      </c>
      <c r="F10" s="10">
        <f t="shared" si="0"/>
        <v>0.99999233766802398</v>
      </c>
    </row>
    <row r="11" spans="1:12" s="4" customFormat="1" x14ac:dyDescent="0.25">
      <c r="A11" s="4" t="s">
        <v>52</v>
      </c>
      <c r="B11" s="4" t="s">
        <v>53</v>
      </c>
      <c r="C11" s="5">
        <f>SUM(C4:C10)</f>
        <v>11242262</v>
      </c>
      <c r="D11" s="5">
        <f t="shared" ref="D11:E11" si="1">SUM(D4:D10)</f>
        <v>11242262</v>
      </c>
      <c r="E11" s="5">
        <f t="shared" si="1"/>
        <v>10497404</v>
      </c>
      <c r="F11" s="11">
        <f t="shared" si="0"/>
        <v>0.93374482822051297</v>
      </c>
    </row>
    <row r="12" spans="1:12" x14ac:dyDescent="0.25">
      <c r="C12" s="3"/>
      <c r="D12" s="3"/>
      <c r="E12" s="3"/>
      <c r="F12" s="10"/>
    </row>
    <row r="13" spans="1:12" s="8" customFormat="1" ht="15.75" x14ac:dyDescent="0.25">
      <c r="B13" s="8" t="s">
        <v>57</v>
      </c>
      <c r="C13" s="9">
        <f>C11</f>
        <v>11242262</v>
      </c>
      <c r="D13" s="9">
        <f t="shared" ref="D13:E13" si="2">D11</f>
        <v>11242262</v>
      </c>
      <c r="E13" s="9">
        <f t="shared" si="2"/>
        <v>10497404</v>
      </c>
      <c r="F13" s="11">
        <f t="shared" si="0"/>
        <v>0.93374482822051297</v>
      </c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A16" t="s">
        <v>214</v>
      </c>
      <c r="C16" s="3">
        <v>0</v>
      </c>
      <c r="D16" s="3">
        <v>0</v>
      </c>
      <c r="E16" s="3">
        <v>0</v>
      </c>
      <c r="F16" s="10"/>
    </row>
    <row r="17" spans="2:6" x14ac:dyDescent="0.25">
      <c r="C17" s="3"/>
      <c r="D17" s="3"/>
      <c r="E17" s="3"/>
    </row>
    <row r="18" spans="2:6" x14ac:dyDescent="0.25">
      <c r="C18" s="3"/>
      <c r="D18" s="3"/>
      <c r="E18" s="3"/>
    </row>
    <row r="19" spans="2:6" s="8" customFormat="1" ht="15.75" x14ac:dyDescent="0.25">
      <c r="B19" s="8" t="s">
        <v>131</v>
      </c>
      <c r="C19" s="9">
        <f>SUM(C16:C18)</f>
        <v>0</v>
      </c>
      <c r="D19" s="9">
        <f>SUM(D16:D18)</f>
        <v>0</v>
      </c>
      <c r="E19" s="9">
        <f>SUM(E16:E18)</f>
        <v>0</v>
      </c>
      <c r="F19" s="11"/>
    </row>
    <row r="20" spans="2:6" x14ac:dyDescent="0.25">
      <c r="C20" s="3"/>
      <c r="D20" s="3"/>
      <c r="E20" s="3"/>
    </row>
    <row r="21" spans="2:6" x14ac:dyDescent="0.25">
      <c r="C21" s="3"/>
      <c r="D21" s="3"/>
      <c r="E21" s="3"/>
    </row>
    <row r="22" spans="2:6" x14ac:dyDescent="0.25">
      <c r="C22" s="3"/>
      <c r="D22" s="3"/>
      <c r="E22" s="3"/>
    </row>
    <row r="23" spans="2:6" x14ac:dyDescent="0.25">
      <c r="C23" s="3"/>
      <c r="D23" s="3"/>
      <c r="E23" s="3"/>
    </row>
    <row r="24" spans="2:6" x14ac:dyDescent="0.25">
      <c r="C24" s="3"/>
      <c r="D24" s="3"/>
      <c r="E24" s="3"/>
    </row>
    <row r="25" spans="2:6" x14ac:dyDescent="0.25">
      <c r="C25" s="3"/>
      <c r="D25" s="3"/>
      <c r="E25" s="3"/>
    </row>
    <row r="26" spans="2:6" x14ac:dyDescent="0.25">
      <c r="C26" s="3"/>
      <c r="D26" s="3"/>
      <c r="E26" s="3"/>
    </row>
    <row r="27" spans="2:6" x14ac:dyDescent="0.25">
      <c r="C27" s="3"/>
      <c r="D27" s="3"/>
      <c r="E27" s="3"/>
    </row>
    <row r="28" spans="2:6" x14ac:dyDescent="0.25">
      <c r="C28" s="3"/>
      <c r="D28" s="3"/>
      <c r="E28" s="3"/>
    </row>
    <row r="29" spans="2:6" x14ac:dyDescent="0.25">
      <c r="C29" s="3"/>
      <c r="D29" s="3"/>
      <c r="E29" s="3"/>
    </row>
    <row r="30" spans="2:6" x14ac:dyDescent="0.25">
      <c r="C30" s="3"/>
      <c r="D30" s="3"/>
      <c r="E30" s="3"/>
    </row>
    <row r="31" spans="2:6" x14ac:dyDescent="0.25">
      <c r="C31" s="3"/>
      <c r="D31" s="3"/>
      <c r="E31" s="3"/>
    </row>
    <row r="32" spans="2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</sheetData>
  <mergeCells count="1">
    <mergeCell ref="B2:F2"/>
  </mergeCells>
  <pageMargins left="0.7" right="0.7" top="0.75" bottom="0.75" header="0.3" footer="0.3"/>
  <pageSetup paperSize="9" scale="7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L451"/>
  <sheetViews>
    <sheetView zoomScaleNormal="100" workbookViewId="0">
      <selection activeCell="H3" sqref="H3"/>
    </sheetView>
  </sheetViews>
  <sheetFormatPr defaultRowHeight="15" x14ac:dyDescent="0.25"/>
  <cols>
    <col min="2" max="2" width="54.85546875" bestFit="1" customWidth="1"/>
    <col min="3" max="3" width="14.7109375" customWidth="1"/>
    <col min="4" max="4" width="13.5703125" customWidth="1"/>
    <col min="5" max="5" width="13" customWidth="1"/>
    <col min="6" max="6" width="11.710937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88</v>
      </c>
      <c r="B2" s="120" t="s">
        <v>89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20</v>
      </c>
      <c r="B4" t="s">
        <v>457</v>
      </c>
      <c r="C4" s="3">
        <v>1921259</v>
      </c>
      <c r="D4" s="3">
        <v>1921259</v>
      </c>
      <c r="E4" s="3">
        <f>7586+19992</f>
        <v>27578</v>
      </c>
      <c r="F4" s="10">
        <f t="shared" ref="F4:F6" si="0">E4/D4</f>
        <v>1.4354129245458317E-2</v>
      </c>
    </row>
    <row r="5" spans="1:12" x14ac:dyDescent="0.25">
      <c r="A5" t="s">
        <v>25</v>
      </c>
      <c r="B5" t="s">
        <v>458</v>
      </c>
      <c r="C5" s="3">
        <v>173228</v>
      </c>
      <c r="D5" s="3">
        <v>173228</v>
      </c>
      <c r="E5" s="3"/>
      <c r="F5" s="10">
        <f t="shared" si="0"/>
        <v>0</v>
      </c>
    </row>
    <row r="6" spans="1:12" x14ac:dyDescent="0.25">
      <c r="A6" t="s">
        <v>29</v>
      </c>
      <c r="B6" t="s">
        <v>459</v>
      </c>
      <c r="C6" s="3">
        <v>47244</v>
      </c>
      <c r="D6" s="3">
        <v>47244</v>
      </c>
      <c r="E6" s="3"/>
      <c r="F6" s="10">
        <f t="shared" si="0"/>
        <v>0</v>
      </c>
    </row>
    <row r="7" spans="1:12" x14ac:dyDescent="0.25">
      <c r="A7" t="s">
        <v>147</v>
      </c>
      <c r="B7" t="s">
        <v>239</v>
      </c>
      <c r="C7" s="3">
        <v>100000</v>
      </c>
      <c r="D7" s="3">
        <v>100000</v>
      </c>
      <c r="E7" s="3"/>
      <c r="F7" s="10">
        <f t="shared" ref="F7:F23" si="1">E7/D7</f>
        <v>0</v>
      </c>
    </row>
    <row r="8" spans="1:12" x14ac:dyDescent="0.25">
      <c r="A8" t="s">
        <v>30</v>
      </c>
      <c r="B8" t="s">
        <v>460</v>
      </c>
      <c r="C8" s="3">
        <v>3250000</v>
      </c>
      <c r="D8" s="3">
        <v>3250000</v>
      </c>
      <c r="E8" s="3"/>
      <c r="F8" s="10">
        <f t="shared" si="1"/>
        <v>0</v>
      </c>
    </row>
    <row r="9" spans="1:12" x14ac:dyDescent="0.25">
      <c r="A9" t="s">
        <v>36</v>
      </c>
      <c r="B9" t="s">
        <v>240</v>
      </c>
      <c r="C9" s="3">
        <v>2958750</v>
      </c>
      <c r="D9" s="3">
        <v>2958750</v>
      </c>
      <c r="E9" s="3">
        <v>2958750</v>
      </c>
      <c r="F9" s="10">
        <f t="shared" si="1"/>
        <v>1</v>
      </c>
    </row>
    <row r="10" spans="1:12" x14ac:dyDescent="0.25">
      <c r="B10" t="s">
        <v>461</v>
      </c>
      <c r="C10" s="3">
        <v>50000</v>
      </c>
      <c r="D10" s="3">
        <v>50000</v>
      </c>
      <c r="E10" s="3"/>
      <c r="F10" s="10">
        <f t="shared" si="1"/>
        <v>0</v>
      </c>
    </row>
    <row r="11" spans="1:12" x14ac:dyDescent="0.25">
      <c r="B11" t="s">
        <v>679</v>
      </c>
      <c r="C11" s="3">
        <v>0</v>
      </c>
      <c r="D11" s="3">
        <v>0</v>
      </c>
      <c r="E11" s="3">
        <v>40000</v>
      </c>
      <c r="F11" s="10"/>
    </row>
    <row r="12" spans="1:12" x14ac:dyDescent="0.25">
      <c r="B12" t="s">
        <v>462</v>
      </c>
      <c r="C12" s="3">
        <v>94488</v>
      </c>
      <c r="D12" s="3">
        <v>94488</v>
      </c>
      <c r="E12" s="3"/>
      <c r="F12" s="10">
        <f t="shared" si="1"/>
        <v>0</v>
      </c>
    </row>
    <row r="13" spans="1:12" x14ac:dyDescent="0.25">
      <c r="B13" t="s">
        <v>680</v>
      </c>
      <c r="C13" s="3">
        <v>4724409</v>
      </c>
      <c r="D13" s="3">
        <v>4724409</v>
      </c>
      <c r="E13" s="3">
        <v>8395000</v>
      </c>
      <c r="F13" s="10">
        <f t="shared" si="1"/>
        <v>1.776941835476141</v>
      </c>
    </row>
    <row r="14" spans="1:12" x14ac:dyDescent="0.25">
      <c r="A14" t="s">
        <v>44</v>
      </c>
      <c r="B14" t="s">
        <v>45</v>
      </c>
      <c r="C14" s="3">
        <v>2705235</v>
      </c>
      <c r="D14" s="3">
        <v>2705235</v>
      </c>
      <c r="E14" s="3">
        <v>3083759</v>
      </c>
      <c r="F14" s="10">
        <f t="shared" si="1"/>
        <v>1.1399227793518862</v>
      </c>
    </row>
    <row r="15" spans="1:12" s="4" customFormat="1" x14ac:dyDescent="0.25">
      <c r="A15" s="4" t="s">
        <v>52</v>
      </c>
      <c r="B15" s="4" t="s">
        <v>53</v>
      </c>
      <c r="C15" s="5">
        <f>SUM(C4:C14)</f>
        <v>16024613</v>
      </c>
      <c r="D15" s="5">
        <f t="shared" ref="D15:E15" si="2">SUM(D4:D14)</f>
        <v>16024613</v>
      </c>
      <c r="E15" s="5">
        <f t="shared" si="2"/>
        <v>14505087</v>
      </c>
      <c r="F15" s="11">
        <f t="shared" si="1"/>
        <v>0.90517549472177583</v>
      </c>
    </row>
    <row r="16" spans="1:12" x14ac:dyDescent="0.25">
      <c r="A16" t="s">
        <v>230</v>
      </c>
      <c r="B16" t="s">
        <v>681</v>
      </c>
      <c r="C16" s="3">
        <f>3149606+944882</f>
        <v>4094488</v>
      </c>
      <c r="D16" s="3">
        <f>3149606+944882</f>
        <v>4094488</v>
      </c>
      <c r="E16" s="3">
        <f>3541889+261551+829000</f>
        <v>4632440</v>
      </c>
      <c r="F16" s="10">
        <f t="shared" si="1"/>
        <v>1.1313844368331278</v>
      </c>
    </row>
    <row r="17" spans="1:6" x14ac:dyDescent="0.25">
      <c r="A17" t="s">
        <v>281</v>
      </c>
      <c r="B17" t="s">
        <v>463</v>
      </c>
      <c r="C17" s="3">
        <v>421260</v>
      </c>
      <c r="D17" s="3">
        <v>421260</v>
      </c>
      <c r="E17" s="3">
        <f>22433+13090+98425</f>
        <v>133948</v>
      </c>
      <c r="F17" s="10">
        <f t="shared" si="1"/>
        <v>0.31796989982433649</v>
      </c>
    </row>
    <row r="18" spans="1:6" x14ac:dyDescent="0.25">
      <c r="A18" t="s">
        <v>231</v>
      </c>
      <c r="B18" t="s">
        <v>682</v>
      </c>
      <c r="C18" s="3">
        <f>850394+255118</f>
        <v>1105512</v>
      </c>
      <c r="D18" s="3">
        <f>850394+255118</f>
        <v>1105512</v>
      </c>
      <c r="E18" s="3">
        <f>815815+70620</f>
        <v>886435</v>
      </c>
      <c r="F18" s="10">
        <f t="shared" si="1"/>
        <v>0.80183209227941443</v>
      </c>
    </row>
    <row r="19" spans="1:6" s="4" customFormat="1" x14ac:dyDescent="0.25">
      <c r="B19" t="s">
        <v>464</v>
      </c>
      <c r="C19" s="3">
        <v>113740</v>
      </c>
      <c r="D19" s="3">
        <v>113740</v>
      </c>
      <c r="E19" s="3">
        <f>6057+26575</f>
        <v>32632</v>
      </c>
      <c r="F19" s="10">
        <f t="shared" si="1"/>
        <v>0.28689994724810974</v>
      </c>
    </row>
    <row r="20" spans="1:6" s="4" customFormat="1" x14ac:dyDescent="0.25">
      <c r="A20" s="4" t="s">
        <v>232</v>
      </c>
      <c r="B20" s="4" t="s">
        <v>465</v>
      </c>
      <c r="C20" s="5">
        <f>SUM(C16:C19)</f>
        <v>5735000</v>
      </c>
      <c r="D20" s="5">
        <f t="shared" ref="D20:E20" si="3">SUM(D16:D19)</f>
        <v>5735000</v>
      </c>
      <c r="E20" s="5">
        <f t="shared" si="3"/>
        <v>5685455</v>
      </c>
      <c r="F20" s="11">
        <f t="shared" ref="F20" si="4">E20/D20</f>
        <v>0.99136094158674803</v>
      </c>
    </row>
    <row r="21" spans="1:6" s="4" customFormat="1" x14ac:dyDescent="0.25">
      <c r="C21" s="5"/>
      <c r="D21" s="5"/>
      <c r="E21" s="5"/>
      <c r="F21" s="11"/>
    </row>
    <row r="22" spans="1:6" x14ac:dyDescent="0.25">
      <c r="C22" s="3"/>
      <c r="D22" s="3"/>
      <c r="E22" s="3"/>
      <c r="F22" s="10"/>
    </row>
    <row r="23" spans="1:6" s="8" customFormat="1" ht="15.75" x14ac:dyDescent="0.25">
      <c r="B23" s="8" t="s">
        <v>57</v>
      </c>
      <c r="C23" s="9">
        <f>SUM(C20,C15)</f>
        <v>21759613</v>
      </c>
      <c r="D23" s="9">
        <f>SUM(D20,D15)</f>
        <v>21759613</v>
      </c>
      <c r="E23" s="9">
        <f>SUM(E20,E15)</f>
        <v>20190542</v>
      </c>
      <c r="F23" s="11">
        <f t="shared" si="1"/>
        <v>0.92789067526154989</v>
      </c>
    </row>
    <row r="24" spans="1:6" x14ac:dyDescent="0.25">
      <c r="C24" s="3"/>
      <c r="D24" s="3"/>
      <c r="E24" s="3"/>
    </row>
    <row r="25" spans="1:6" x14ac:dyDescent="0.25">
      <c r="C25" s="3"/>
      <c r="D25" s="3"/>
      <c r="E25" s="3"/>
    </row>
    <row r="26" spans="1:6" x14ac:dyDescent="0.25">
      <c r="A26" t="s">
        <v>166</v>
      </c>
      <c r="B26" t="s">
        <v>239</v>
      </c>
      <c r="C26" s="3">
        <v>100000</v>
      </c>
      <c r="D26" s="3">
        <v>100000</v>
      </c>
      <c r="E26" s="3"/>
      <c r="F26" s="10">
        <f t="shared" ref="F26:F27" si="5">E26/D26</f>
        <v>0</v>
      </c>
    </row>
    <row r="27" spans="1:6" x14ac:dyDescent="0.25">
      <c r="A27" t="s">
        <v>170</v>
      </c>
      <c r="B27" t="s">
        <v>241</v>
      </c>
      <c r="C27" s="3">
        <v>27000</v>
      </c>
      <c r="D27" s="3">
        <v>27000</v>
      </c>
      <c r="E27" s="3"/>
      <c r="F27" s="10">
        <f t="shared" si="5"/>
        <v>0</v>
      </c>
    </row>
    <row r="28" spans="1:6" x14ac:dyDescent="0.25">
      <c r="A28" t="s">
        <v>129</v>
      </c>
      <c r="B28" t="s">
        <v>721</v>
      </c>
      <c r="C28" s="3">
        <v>0</v>
      </c>
      <c r="D28" s="3">
        <v>0</v>
      </c>
      <c r="E28" s="3">
        <v>15000</v>
      </c>
    </row>
    <row r="29" spans="1:6" s="8" customFormat="1" ht="15.75" x14ac:dyDescent="0.25">
      <c r="B29" s="8" t="s">
        <v>131</v>
      </c>
      <c r="C29" s="9">
        <f>SUM(C26:C28)</f>
        <v>127000</v>
      </c>
      <c r="D29" s="9">
        <f>SUM(D26:D28)</f>
        <v>127000</v>
      </c>
      <c r="E29" s="9">
        <f>SUM(E26:E28)</f>
        <v>15000</v>
      </c>
      <c r="F29" s="11">
        <f t="shared" ref="F29" si="6">E29/D29</f>
        <v>0.11811023622047244</v>
      </c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</sheetData>
  <mergeCells count="1">
    <mergeCell ref="B2:F2"/>
  </mergeCells>
  <pageMargins left="0.7" right="0.7" top="0.75" bottom="0.75" header="0.3" footer="0.3"/>
  <pageSetup paperSize="9" scale="7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L441"/>
  <sheetViews>
    <sheetView zoomScaleNormal="100" workbookViewId="0">
      <selection activeCell="E23" sqref="E23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A1" s="7">
        <v>0</v>
      </c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90</v>
      </c>
      <c r="B2" s="120" t="s">
        <v>91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36</v>
      </c>
      <c r="B4" t="s">
        <v>242</v>
      </c>
      <c r="C4" s="3">
        <v>692500</v>
      </c>
      <c r="D4" s="3">
        <v>692500</v>
      </c>
      <c r="E4" s="3"/>
      <c r="F4" s="10">
        <f t="shared" ref="F4:F11" si="0">E4/D4</f>
        <v>0</v>
      </c>
    </row>
    <row r="5" spans="1:12" x14ac:dyDescent="0.25">
      <c r="B5" t="s">
        <v>243</v>
      </c>
      <c r="C5" s="3">
        <v>10000</v>
      </c>
      <c r="D5" s="3">
        <v>10000</v>
      </c>
      <c r="E5" s="3"/>
      <c r="F5" s="10">
        <f t="shared" si="0"/>
        <v>0</v>
      </c>
    </row>
    <row r="6" spans="1:12" x14ac:dyDescent="0.25">
      <c r="A6" t="s">
        <v>44</v>
      </c>
      <c r="B6" t="s">
        <v>45</v>
      </c>
      <c r="C6" s="3">
        <v>186975</v>
      </c>
      <c r="D6" s="3">
        <v>186975</v>
      </c>
      <c r="E6" s="3"/>
      <c r="F6" s="10">
        <f t="shared" si="0"/>
        <v>0</v>
      </c>
    </row>
    <row r="7" spans="1:12" s="4" customFormat="1" x14ac:dyDescent="0.25">
      <c r="A7" s="4" t="s">
        <v>52</v>
      </c>
      <c r="B7" s="4" t="s">
        <v>53</v>
      </c>
      <c r="C7" s="5">
        <f>SUM(C4:C6)</f>
        <v>889475</v>
      </c>
      <c r="D7" s="5">
        <f>SUM(D4:D6)</f>
        <v>889475</v>
      </c>
      <c r="E7" s="5">
        <f>SUM(E4:E6)</f>
        <v>0</v>
      </c>
      <c r="F7" s="11">
        <f t="shared" si="0"/>
        <v>0</v>
      </c>
    </row>
    <row r="8" spans="1:12" x14ac:dyDescent="0.25">
      <c r="A8" t="s">
        <v>157</v>
      </c>
      <c r="B8" t="s">
        <v>245</v>
      </c>
      <c r="C8" s="3">
        <v>50000</v>
      </c>
      <c r="D8" s="3">
        <v>50000</v>
      </c>
      <c r="E8" s="3"/>
      <c r="F8" s="10">
        <f t="shared" si="0"/>
        <v>0</v>
      </c>
    </row>
    <row r="9" spans="1:12" s="4" customFormat="1" x14ac:dyDescent="0.25">
      <c r="A9" s="4" t="s">
        <v>159</v>
      </c>
      <c r="B9" s="4" t="s">
        <v>244</v>
      </c>
      <c r="C9" s="5">
        <f>SUM(C8)</f>
        <v>50000</v>
      </c>
      <c r="D9" s="5">
        <f>SUM(D8)</f>
        <v>50000</v>
      </c>
      <c r="E9" s="5">
        <f t="shared" ref="E9" si="1">SUM(E8)</f>
        <v>0</v>
      </c>
      <c r="F9" s="11">
        <f t="shared" si="0"/>
        <v>0</v>
      </c>
    </row>
    <row r="10" spans="1:12" s="4" customFormat="1" x14ac:dyDescent="0.25">
      <c r="C10" s="5"/>
      <c r="D10" s="5"/>
      <c r="E10" s="5"/>
      <c r="F10" s="11"/>
    </row>
    <row r="11" spans="1:12" s="8" customFormat="1" ht="15.75" x14ac:dyDescent="0.25">
      <c r="B11" s="8" t="s">
        <v>57</v>
      </c>
      <c r="C11" s="9">
        <f>C7+C9</f>
        <v>939475</v>
      </c>
      <c r="D11" s="9">
        <f t="shared" ref="D11:E11" si="2">D7+D9</f>
        <v>939475</v>
      </c>
      <c r="E11" s="9">
        <f t="shared" si="2"/>
        <v>0</v>
      </c>
      <c r="F11" s="11">
        <f t="shared" si="0"/>
        <v>0</v>
      </c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A14" t="s">
        <v>392</v>
      </c>
      <c r="B14" t="s">
        <v>382</v>
      </c>
      <c r="C14" s="3">
        <v>0</v>
      </c>
      <c r="D14" s="3">
        <v>0</v>
      </c>
      <c r="E14" s="3"/>
      <c r="F14" s="10"/>
    </row>
    <row r="15" spans="1:12" s="4" customFormat="1" x14ac:dyDescent="0.25">
      <c r="A15" s="4" t="s">
        <v>172</v>
      </c>
      <c r="B15" s="4" t="s">
        <v>379</v>
      </c>
      <c r="C15" s="5">
        <f>SUM(C14)</f>
        <v>0</v>
      </c>
      <c r="D15" s="5">
        <f t="shared" ref="D15:E15" si="3">SUM(D14)</f>
        <v>0</v>
      </c>
      <c r="E15" s="5">
        <f t="shared" si="3"/>
        <v>0</v>
      </c>
      <c r="F15" s="10"/>
    </row>
    <row r="16" spans="1:12" x14ac:dyDescent="0.25">
      <c r="A16" t="s">
        <v>248</v>
      </c>
      <c r="B16" t="s">
        <v>249</v>
      </c>
      <c r="C16" s="3">
        <v>0</v>
      </c>
      <c r="D16" s="3">
        <v>0</v>
      </c>
      <c r="E16" s="3">
        <f>110000+62816</f>
        <v>172816</v>
      </c>
      <c r="F16" s="10"/>
    </row>
    <row r="17" spans="1:6" s="4" customFormat="1" x14ac:dyDescent="0.25">
      <c r="A17" s="4" t="s">
        <v>246</v>
      </c>
      <c r="B17" s="4" t="s">
        <v>247</v>
      </c>
      <c r="C17" s="5">
        <f>SUM(C16)</f>
        <v>0</v>
      </c>
      <c r="D17" s="5">
        <f t="shared" ref="D17:E17" si="4">SUM(D16)</f>
        <v>0</v>
      </c>
      <c r="E17" s="5">
        <f t="shared" si="4"/>
        <v>172816</v>
      </c>
      <c r="F17" s="10"/>
    </row>
    <row r="18" spans="1:6" x14ac:dyDescent="0.25">
      <c r="C18" s="3"/>
      <c r="D18" s="3"/>
      <c r="E18" s="3"/>
      <c r="F18" s="10"/>
    </row>
    <row r="19" spans="1:6" s="8" customFormat="1" ht="15.75" x14ac:dyDescent="0.25">
      <c r="B19" s="8" t="s">
        <v>131</v>
      </c>
      <c r="C19" s="9">
        <f>SUM(C15,C17)</f>
        <v>0</v>
      </c>
      <c r="D19" s="9">
        <f t="shared" ref="D19:E19" si="5">SUM(D15,D17)</f>
        <v>0</v>
      </c>
      <c r="E19" s="9">
        <f t="shared" si="5"/>
        <v>172816</v>
      </c>
      <c r="F19" s="10"/>
    </row>
    <row r="20" spans="1:6" x14ac:dyDescent="0.25">
      <c r="C20" s="3"/>
      <c r="D20" s="3"/>
      <c r="E20" s="3"/>
    </row>
    <row r="21" spans="1:6" x14ac:dyDescent="0.25">
      <c r="C21" s="3"/>
      <c r="D21" s="3"/>
      <c r="E21" s="3"/>
    </row>
    <row r="22" spans="1:6" x14ac:dyDescent="0.25">
      <c r="C22" s="3"/>
      <c r="D22" s="3"/>
      <c r="E22" s="3"/>
    </row>
    <row r="23" spans="1:6" x14ac:dyDescent="0.25">
      <c r="C23" s="3"/>
      <c r="D23" s="3"/>
      <c r="E23" s="3"/>
    </row>
    <row r="24" spans="1:6" x14ac:dyDescent="0.25">
      <c r="C24" s="3"/>
      <c r="D24" s="3"/>
      <c r="E24" s="3"/>
    </row>
    <row r="25" spans="1:6" x14ac:dyDescent="0.25">
      <c r="C25" s="3"/>
      <c r="D25" s="3"/>
      <c r="E25" s="3"/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x14ac:dyDescent="0.25"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Q582"/>
  <sheetViews>
    <sheetView topLeftCell="A106" zoomScaleNormal="100" workbookViewId="0">
      <selection activeCell="R33" sqref="R33"/>
    </sheetView>
  </sheetViews>
  <sheetFormatPr defaultRowHeight="15" x14ac:dyDescent="0.25"/>
  <cols>
    <col min="2" max="2" width="46.7109375" customWidth="1"/>
    <col min="3" max="4" width="14.140625" bestFit="1" customWidth="1"/>
    <col min="5" max="6" width="13" bestFit="1" customWidth="1"/>
    <col min="12" max="12" width="5" customWidth="1"/>
    <col min="13" max="13" width="3" customWidth="1"/>
    <col min="14" max="14" width="13.28515625" bestFit="1" customWidth="1"/>
    <col min="15" max="15" width="14.7109375" bestFit="1" customWidth="1"/>
    <col min="16" max="16" width="12" bestFit="1" customWidth="1"/>
    <col min="17" max="17" width="14.7109375" bestFit="1" customWidth="1"/>
  </cols>
  <sheetData>
    <row r="1" spans="1:17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7" s="2" customFormat="1" x14ac:dyDescent="0.25">
      <c r="A2" s="1" t="s">
        <v>92</v>
      </c>
      <c r="B2" s="120" t="s">
        <v>93</v>
      </c>
      <c r="C2" s="120"/>
      <c r="D2" s="120"/>
      <c r="E2" s="120"/>
      <c r="F2" s="120"/>
      <c r="G2" s="6"/>
      <c r="H2" s="120"/>
      <c r="I2" s="120"/>
      <c r="J2" s="120"/>
      <c r="K2" s="120"/>
      <c r="L2" s="120"/>
    </row>
    <row r="3" spans="1:17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</row>
    <row r="4" spans="1:17" s="82" customFormat="1" ht="15.75" x14ac:dyDescent="0.25">
      <c r="A4" s="79"/>
      <c r="B4" s="80"/>
      <c r="C4" s="81"/>
      <c r="D4" s="81"/>
      <c r="E4" s="81"/>
      <c r="F4" s="81"/>
      <c r="G4" s="81"/>
      <c r="H4" s="81"/>
      <c r="I4" s="81"/>
    </row>
    <row r="5" spans="1:17" s="82" customFormat="1" ht="15.75" customHeight="1" x14ac:dyDescent="0.25">
      <c r="A5" s="124" t="s">
        <v>482</v>
      </c>
      <c r="B5" s="124"/>
      <c r="C5" s="124"/>
      <c r="D5" s="81"/>
      <c r="E5" s="81"/>
      <c r="F5" s="81"/>
      <c r="G5" s="81"/>
      <c r="H5" s="81"/>
      <c r="I5" s="81"/>
    </row>
    <row r="6" spans="1:17" ht="28.5" customHeight="1" x14ac:dyDescent="0.25">
      <c r="A6" t="s">
        <v>466</v>
      </c>
      <c r="B6" s="45" t="s">
        <v>468</v>
      </c>
      <c r="C6" s="3">
        <v>1542413</v>
      </c>
      <c r="D6" s="3">
        <v>1542413</v>
      </c>
      <c r="E6" s="3"/>
      <c r="F6" s="10">
        <f t="shared" ref="F6" si="0">E6/D6</f>
        <v>0</v>
      </c>
      <c r="H6" s="108"/>
      <c r="I6" s="108"/>
      <c r="J6" s="108"/>
      <c r="K6" s="108"/>
      <c r="L6" s="108"/>
      <c r="M6" s="108"/>
      <c r="N6" s="109" t="s">
        <v>4</v>
      </c>
      <c r="O6" s="109" t="s">
        <v>5</v>
      </c>
      <c r="P6" s="109" t="s">
        <v>6</v>
      </c>
      <c r="Q6" s="109" t="s">
        <v>7</v>
      </c>
    </row>
    <row r="7" spans="1:17" s="4" customFormat="1" x14ac:dyDescent="0.25">
      <c r="A7" s="4" t="s">
        <v>15</v>
      </c>
      <c r="B7" s="4" t="s">
        <v>416</v>
      </c>
      <c r="C7" s="5">
        <f>SUM(C6)</f>
        <v>1542413</v>
      </c>
      <c r="D7" s="5">
        <f>SUM(D6)</f>
        <v>1542413</v>
      </c>
      <c r="E7" s="5">
        <f t="shared" ref="E7" si="1">SUM(E6)</f>
        <v>0</v>
      </c>
      <c r="F7" s="11">
        <f t="shared" ref="F7:F8" si="2">E7/D7</f>
        <v>0</v>
      </c>
      <c r="H7" s="110" t="s">
        <v>15</v>
      </c>
      <c r="I7" s="110" t="s">
        <v>416</v>
      </c>
      <c r="J7" s="110"/>
      <c r="K7" s="110"/>
      <c r="L7" s="110"/>
      <c r="M7" s="110"/>
      <c r="N7" s="111">
        <f>C7+C44+C110</f>
        <v>3312324</v>
      </c>
      <c r="O7" s="111">
        <f>D7+D44+D110</f>
        <v>25896901</v>
      </c>
      <c r="P7" s="111">
        <f>E7+E44+E110</f>
        <v>3008666</v>
      </c>
      <c r="Q7" s="112">
        <f t="shared" ref="Q7:Q12" si="3">P7/O7</f>
        <v>0.1161786114871428</v>
      </c>
    </row>
    <row r="8" spans="1:17" ht="18" customHeight="1" x14ac:dyDescent="0.25">
      <c r="A8" t="s">
        <v>17</v>
      </c>
      <c r="B8" s="45" t="s">
        <v>469</v>
      </c>
      <c r="C8" s="3">
        <v>200514</v>
      </c>
      <c r="D8" s="3">
        <v>200514</v>
      </c>
      <c r="E8" s="3"/>
      <c r="F8" s="10">
        <f t="shared" si="2"/>
        <v>0</v>
      </c>
      <c r="H8" s="110" t="s">
        <v>17</v>
      </c>
      <c r="I8" s="110" t="s">
        <v>18</v>
      </c>
      <c r="J8" s="108"/>
      <c r="K8" s="108"/>
      <c r="L8" s="108"/>
      <c r="M8" s="108"/>
      <c r="N8" s="111">
        <f>C9+C46+C111</f>
        <v>430603</v>
      </c>
      <c r="O8" s="111">
        <f>D9+D46+D111</f>
        <v>3275094</v>
      </c>
      <c r="P8" s="111">
        <f>E9+E46+E111</f>
        <v>365430</v>
      </c>
      <c r="Q8" s="112">
        <f t="shared" si="3"/>
        <v>0.11157847683150468</v>
      </c>
    </row>
    <row r="9" spans="1:17" s="4" customFormat="1" x14ac:dyDescent="0.25">
      <c r="A9" s="4" t="s">
        <v>17</v>
      </c>
      <c r="B9" s="4" t="s">
        <v>18</v>
      </c>
      <c r="C9" s="5">
        <f>SUM(C8)</f>
        <v>200514</v>
      </c>
      <c r="D9" s="5">
        <f>SUM(D8)</f>
        <v>200514</v>
      </c>
      <c r="E9" s="5">
        <f t="shared" ref="E9" si="4">SUM(E8)</f>
        <v>0</v>
      </c>
      <c r="F9" s="11">
        <f t="shared" ref="F9:F10" si="5">E9/D9</f>
        <v>0</v>
      </c>
      <c r="H9" s="110" t="s">
        <v>52</v>
      </c>
      <c r="I9" s="110" t="s">
        <v>53</v>
      </c>
      <c r="J9" s="110"/>
      <c r="K9" s="110"/>
      <c r="L9" s="110"/>
      <c r="M9" s="110"/>
      <c r="N9" s="111">
        <f>C15+C33+C57+C69+C100+C78+C130+C118</f>
        <v>30803665</v>
      </c>
      <c r="O9" s="111">
        <f>D15+D33+D57+D69+D100+D78+D130+D118</f>
        <v>72882111</v>
      </c>
      <c r="P9" s="111">
        <f>E15+E33+E57+E69+E100+E78+E130+E118</f>
        <v>7729190</v>
      </c>
      <c r="Q9" s="112">
        <f t="shared" si="3"/>
        <v>0.10605057803553468</v>
      </c>
    </row>
    <row r="10" spans="1:17" x14ac:dyDescent="0.25">
      <c r="A10" t="s">
        <v>25</v>
      </c>
      <c r="B10" s="56" t="s">
        <v>467</v>
      </c>
      <c r="C10" s="3">
        <v>40000</v>
      </c>
      <c r="D10" s="3">
        <v>40000</v>
      </c>
      <c r="E10" s="3"/>
      <c r="F10" s="10">
        <f t="shared" si="5"/>
        <v>0</v>
      </c>
      <c r="H10" s="110" t="s">
        <v>232</v>
      </c>
      <c r="I10" s="110" t="s">
        <v>233</v>
      </c>
      <c r="J10" s="108"/>
      <c r="K10" s="108"/>
      <c r="L10" s="108"/>
      <c r="M10" s="108"/>
      <c r="N10" s="111">
        <f>C22+C38+C62+C133+C72+C102+C123</f>
        <v>784038876</v>
      </c>
      <c r="O10" s="111">
        <f>D22+D38+D62+D133+D72+D102+D123</f>
        <v>785466518</v>
      </c>
      <c r="P10" s="111">
        <f>E22+E38+E62+E133+E72+E102+E123</f>
        <v>26301549</v>
      </c>
      <c r="Q10" s="112">
        <f t="shared" si="3"/>
        <v>3.3485257992881115E-2</v>
      </c>
    </row>
    <row r="11" spans="1:17" x14ac:dyDescent="0.25">
      <c r="A11" t="s">
        <v>30</v>
      </c>
      <c r="B11" s="56" t="s">
        <v>470</v>
      </c>
      <c r="C11" s="3">
        <v>870000</v>
      </c>
      <c r="D11" s="3">
        <v>870000</v>
      </c>
      <c r="E11" s="3"/>
      <c r="F11" s="10"/>
      <c r="H11" s="110" t="s">
        <v>155</v>
      </c>
      <c r="I11" s="110" t="s">
        <v>224</v>
      </c>
      <c r="J11" s="108"/>
      <c r="K11" s="108"/>
      <c r="L11" s="108"/>
      <c r="M11" s="108"/>
      <c r="N11" s="111">
        <f>C81</f>
        <v>7623013</v>
      </c>
      <c r="O11" s="111">
        <f>D81</f>
        <v>7623013</v>
      </c>
      <c r="P11" s="111">
        <f>E81</f>
        <v>0</v>
      </c>
      <c r="Q11" s="112">
        <f t="shared" si="3"/>
        <v>0</v>
      </c>
    </row>
    <row r="12" spans="1:17" ht="15.75" x14ac:dyDescent="0.25">
      <c r="A12" t="s">
        <v>250</v>
      </c>
      <c r="B12" s="56" t="s">
        <v>471</v>
      </c>
      <c r="C12" s="3">
        <v>2500000</v>
      </c>
      <c r="D12" s="3">
        <v>2500000</v>
      </c>
      <c r="E12" s="3"/>
      <c r="F12" s="10">
        <f t="shared" ref="F12" si="6">E12/D12</f>
        <v>0</v>
      </c>
      <c r="H12" s="113" t="s">
        <v>57</v>
      </c>
      <c r="I12" s="108"/>
      <c r="J12" s="108"/>
      <c r="K12" s="108"/>
      <c r="L12" s="108"/>
      <c r="M12" s="108"/>
      <c r="N12" s="114">
        <f>SUM(N7:N11)</f>
        <v>826208481</v>
      </c>
      <c r="O12" s="114">
        <f t="shared" ref="O12:P12" si="7">SUM(O7:O11)</f>
        <v>895143637</v>
      </c>
      <c r="P12" s="114">
        <f t="shared" si="7"/>
        <v>37404835</v>
      </c>
      <c r="Q12" s="115">
        <f t="shared" si="3"/>
        <v>4.1786405503991757E-2</v>
      </c>
    </row>
    <row r="13" spans="1:17" x14ac:dyDescent="0.25">
      <c r="A13" t="s">
        <v>44</v>
      </c>
      <c r="B13" s="56" t="s">
        <v>472</v>
      </c>
      <c r="C13" s="3">
        <v>10800</v>
      </c>
      <c r="D13" s="3">
        <v>10800</v>
      </c>
      <c r="E13" s="3"/>
      <c r="F13" s="10"/>
      <c r="H13" s="108"/>
      <c r="I13" s="108"/>
      <c r="J13" s="108"/>
      <c r="K13" s="108"/>
      <c r="L13" s="108"/>
      <c r="M13" s="108"/>
      <c r="N13" s="108"/>
      <c r="O13" s="108"/>
      <c r="P13" s="108"/>
      <c r="Q13" s="108"/>
    </row>
    <row r="14" spans="1:17" x14ac:dyDescent="0.25">
      <c r="B14" s="56" t="s">
        <v>473</v>
      </c>
      <c r="C14" s="3">
        <v>675000</v>
      </c>
      <c r="D14" s="3">
        <v>675000</v>
      </c>
      <c r="E14" s="3"/>
      <c r="F14" s="10"/>
      <c r="H14" s="108"/>
      <c r="I14" s="108"/>
      <c r="J14" s="108"/>
      <c r="K14" s="108"/>
      <c r="L14" s="108"/>
      <c r="M14" s="108"/>
      <c r="N14" s="108"/>
      <c r="O14" s="108"/>
      <c r="P14" s="108"/>
      <c r="Q14" s="108"/>
    </row>
    <row r="15" spans="1:17" s="4" customFormat="1" x14ac:dyDescent="0.25">
      <c r="A15" s="4" t="s">
        <v>52</v>
      </c>
      <c r="B15" s="4" t="s">
        <v>53</v>
      </c>
      <c r="C15" s="5">
        <f>SUM(C10:C14)</f>
        <v>4095800</v>
      </c>
      <c r="D15" s="5">
        <f>SUM(D10:D14)</f>
        <v>4095800</v>
      </c>
      <c r="E15" s="5">
        <f t="shared" ref="E15" si="8">SUM(E10:E14)</f>
        <v>0</v>
      </c>
      <c r="F15" s="11">
        <f t="shared" ref="F15" si="9">E15/D15</f>
        <v>0</v>
      </c>
    </row>
    <row r="16" spans="1:17" x14ac:dyDescent="0.25">
      <c r="A16" t="s">
        <v>230</v>
      </c>
      <c r="B16" s="56" t="s">
        <v>474</v>
      </c>
      <c r="C16" s="3">
        <v>56884403</v>
      </c>
      <c r="D16" s="3">
        <v>56884403</v>
      </c>
      <c r="E16" s="3"/>
      <c r="F16" s="10">
        <f t="shared" ref="F16" si="10">E16/D16</f>
        <v>0</v>
      </c>
    </row>
    <row r="17" spans="1:7" x14ac:dyDescent="0.25">
      <c r="B17" s="56" t="s">
        <v>475</v>
      </c>
      <c r="C17" s="3">
        <v>3250000</v>
      </c>
      <c r="D17" s="3">
        <v>3250000</v>
      </c>
      <c r="E17" s="3">
        <v>3250000</v>
      </c>
      <c r="F17" s="10"/>
    </row>
    <row r="18" spans="1:7" x14ac:dyDescent="0.25">
      <c r="B18" s="56" t="s">
        <v>476</v>
      </c>
      <c r="C18" s="3">
        <v>720501</v>
      </c>
      <c r="D18" s="3">
        <v>720501</v>
      </c>
      <c r="E18" s="3"/>
      <c r="F18" s="10"/>
    </row>
    <row r="19" spans="1:7" x14ac:dyDescent="0.25">
      <c r="A19" t="s">
        <v>231</v>
      </c>
      <c r="B19" s="56" t="s">
        <v>477</v>
      </c>
      <c r="C19" s="3">
        <v>15358789</v>
      </c>
      <c r="D19" s="3">
        <v>15358789</v>
      </c>
      <c r="E19" s="3"/>
      <c r="F19" s="10"/>
    </row>
    <row r="20" spans="1:7" x14ac:dyDescent="0.25">
      <c r="B20" s="56" t="s">
        <v>478</v>
      </c>
      <c r="C20" s="3">
        <v>877500</v>
      </c>
      <c r="D20" s="3">
        <v>877500</v>
      </c>
      <c r="E20" s="3">
        <v>877500</v>
      </c>
      <c r="F20" s="10"/>
    </row>
    <row r="21" spans="1:7" x14ac:dyDescent="0.25">
      <c r="B21" s="56" t="s">
        <v>479</v>
      </c>
      <c r="C21" s="3">
        <v>194535</v>
      </c>
      <c r="D21" s="3">
        <v>194535</v>
      </c>
      <c r="E21" s="3"/>
      <c r="F21" s="10"/>
    </row>
    <row r="22" spans="1:7" s="4" customFormat="1" x14ac:dyDescent="0.25">
      <c r="A22" s="4" t="s">
        <v>232</v>
      </c>
      <c r="B22" s="4" t="s">
        <v>233</v>
      </c>
      <c r="C22" s="5">
        <f>SUM(C16:C21)</f>
        <v>77285728</v>
      </c>
      <c r="D22" s="5">
        <f>SUM(D16:D21)</f>
        <v>77285728</v>
      </c>
      <c r="E22" s="5">
        <f t="shared" ref="E22" si="11">SUM(E16:E21)</f>
        <v>4127500</v>
      </c>
      <c r="F22" s="11">
        <f t="shared" ref="F22:F23" si="12">E22/D22</f>
        <v>5.3405720652589313E-2</v>
      </c>
    </row>
    <row r="23" spans="1:7" ht="15.75" x14ac:dyDescent="0.25">
      <c r="A23" s="122" t="s">
        <v>480</v>
      </c>
      <c r="B23" s="122"/>
      <c r="C23" s="86">
        <f>C7+C9+C15+C22</f>
        <v>83124455</v>
      </c>
      <c r="D23" s="86">
        <f t="shared" ref="D23:E23" si="13">D7+D9+D15+D22</f>
        <v>83124455</v>
      </c>
      <c r="E23" s="86">
        <f t="shared" si="13"/>
        <v>4127500</v>
      </c>
      <c r="F23" s="87">
        <f t="shared" si="12"/>
        <v>4.9654460892405251E-2</v>
      </c>
      <c r="G23" s="86"/>
    </row>
    <row r="24" spans="1:7" ht="15.75" x14ac:dyDescent="0.25">
      <c r="A24" s="85"/>
      <c r="B24" s="85"/>
      <c r="C24" s="86"/>
      <c r="D24" s="86"/>
      <c r="E24" s="86"/>
      <c r="F24" s="87"/>
      <c r="G24" s="86"/>
    </row>
    <row r="25" spans="1:7" ht="15.75" x14ac:dyDescent="0.25">
      <c r="A25" s="85"/>
      <c r="B25" s="85"/>
      <c r="C25" s="86"/>
      <c r="D25" s="86"/>
      <c r="E25" s="86"/>
      <c r="F25" s="87"/>
      <c r="G25" s="86"/>
    </row>
    <row r="26" spans="1:7" ht="15.75" x14ac:dyDescent="0.25">
      <c r="A26" s="124" t="s">
        <v>481</v>
      </c>
      <c r="B26" s="124"/>
      <c r="C26" s="124"/>
      <c r="D26" s="81"/>
      <c r="E26" s="81"/>
      <c r="F26" s="81"/>
    </row>
    <row r="27" spans="1:7" x14ac:dyDescent="0.25">
      <c r="A27" t="s">
        <v>20</v>
      </c>
      <c r="B27" s="56" t="s">
        <v>684</v>
      </c>
      <c r="C27" s="3">
        <v>0</v>
      </c>
      <c r="D27" s="3">
        <v>0</v>
      </c>
      <c r="E27" s="74">
        <v>3485</v>
      </c>
      <c r="F27" s="10"/>
    </row>
    <row r="28" spans="1:7" x14ac:dyDescent="0.25">
      <c r="A28" t="s">
        <v>30</v>
      </c>
      <c r="B28" s="56" t="s">
        <v>483</v>
      </c>
      <c r="C28" s="3">
        <v>1096446</v>
      </c>
      <c r="D28" s="3">
        <v>1096446</v>
      </c>
      <c r="E28" s="74">
        <f>200000</f>
        <v>200000</v>
      </c>
      <c r="F28" s="10"/>
    </row>
    <row r="29" spans="1:7" x14ac:dyDescent="0.25">
      <c r="B29" s="56" t="s">
        <v>686</v>
      </c>
      <c r="C29" s="3"/>
      <c r="D29" s="3"/>
      <c r="E29" s="74">
        <f>150000+200000</f>
        <v>350000</v>
      </c>
      <c r="F29" s="10"/>
    </row>
    <row r="30" spans="1:7" x14ac:dyDescent="0.25">
      <c r="A30" t="s">
        <v>250</v>
      </c>
      <c r="B30" s="56" t="s">
        <v>484</v>
      </c>
      <c r="C30" s="3">
        <v>590000</v>
      </c>
      <c r="D30" s="3">
        <v>590000</v>
      </c>
      <c r="E30" s="74"/>
      <c r="F30" s="10">
        <f t="shared" ref="F30" si="14">E30/D30</f>
        <v>0</v>
      </c>
    </row>
    <row r="31" spans="1:7" x14ac:dyDescent="0.25">
      <c r="A31" t="s">
        <v>44</v>
      </c>
      <c r="B31" s="56" t="s">
        <v>485</v>
      </c>
      <c r="C31" s="3">
        <v>296040</v>
      </c>
      <c r="D31" s="3">
        <v>296040</v>
      </c>
      <c r="E31" s="74">
        <f>941</f>
        <v>941</v>
      </c>
      <c r="F31" s="10"/>
    </row>
    <row r="32" spans="1:7" x14ac:dyDescent="0.25">
      <c r="B32" s="56" t="s">
        <v>486</v>
      </c>
      <c r="C32" s="3">
        <v>159300</v>
      </c>
      <c r="D32" s="3">
        <v>159300</v>
      </c>
      <c r="E32" s="3"/>
      <c r="F32" s="10"/>
    </row>
    <row r="33" spans="1:6" x14ac:dyDescent="0.25">
      <c r="A33" s="4" t="s">
        <v>52</v>
      </c>
      <c r="B33" s="4" t="s">
        <v>53</v>
      </c>
      <c r="C33" s="5">
        <f>SUM(C27:C32)</f>
        <v>2141786</v>
      </c>
      <c r="D33" s="5">
        <f>SUM(D27:D32)</f>
        <v>2141786</v>
      </c>
      <c r="E33" s="5">
        <f>SUM(E27:E32)</f>
        <v>554426</v>
      </c>
      <c r="F33" s="11">
        <f t="shared" ref="F33:F34" si="15">E33/D33</f>
        <v>0.25886152958325437</v>
      </c>
    </row>
    <row r="34" spans="1:6" x14ac:dyDescent="0.25">
      <c r="A34" t="s">
        <v>230</v>
      </c>
      <c r="B34" s="56" t="s">
        <v>487</v>
      </c>
      <c r="C34" s="3">
        <v>40472592</v>
      </c>
      <c r="D34" s="3">
        <v>40472592</v>
      </c>
      <c r="E34" s="3">
        <f>644064+7332356+7332356+644064+885826+30000+1382+1382</f>
        <v>16871430</v>
      </c>
      <c r="F34" s="10">
        <f t="shared" si="15"/>
        <v>0.41686062508672533</v>
      </c>
    </row>
    <row r="35" spans="1:6" x14ac:dyDescent="0.25">
      <c r="A35" t="s">
        <v>281</v>
      </c>
      <c r="B35" s="56" t="s">
        <v>488</v>
      </c>
      <c r="C35" s="3">
        <v>1306000</v>
      </c>
      <c r="D35" s="3">
        <v>1306000</v>
      </c>
      <c r="E35" s="3"/>
      <c r="F35" s="10"/>
    </row>
    <row r="36" spans="1:6" x14ac:dyDescent="0.25">
      <c r="A36" t="s">
        <v>231</v>
      </c>
      <c r="B36" s="56" t="s">
        <v>489</v>
      </c>
      <c r="C36" s="3">
        <v>10927600</v>
      </c>
      <c r="D36" s="3">
        <f>10927600-4307267</f>
        <v>6620333</v>
      </c>
      <c r="E36" s="3">
        <f>239173+8100+373+373</f>
        <v>248019</v>
      </c>
      <c r="F36" s="10"/>
    </row>
    <row r="37" spans="1:6" x14ac:dyDescent="0.25">
      <c r="B37" s="56" t="s">
        <v>490</v>
      </c>
      <c r="C37" s="3">
        <v>352620</v>
      </c>
      <c r="D37" s="3">
        <v>352620</v>
      </c>
      <c r="E37" s="3"/>
      <c r="F37" s="10"/>
    </row>
    <row r="38" spans="1:6" x14ac:dyDescent="0.25">
      <c r="A38" s="4" t="s">
        <v>232</v>
      </c>
      <c r="B38" s="4" t="s">
        <v>233</v>
      </c>
      <c r="C38" s="5">
        <f>SUM(C34:C37)</f>
        <v>53058812</v>
      </c>
      <c r="D38" s="5">
        <f>SUM(D34:D37)</f>
        <v>48751545</v>
      </c>
      <c r="E38" s="5">
        <f>SUM(E34:E37)</f>
        <v>17119449</v>
      </c>
      <c r="F38" s="11">
        <f t="shared" ref="F38:F39" si="16">E38/D38</f>
        <v>0.35115705563792904</v>
      </c>
    </row>
    <row r="39" spans="1:6" ht="15.75" x14ac:dyDescent="0.25">
      <c r="A39" s="122" t="s">
        <v>480</v>
      </c>
      <c r="B39" s="122"/>
      <c r="C39" s="86">
        <f>C33+C38</f>
        <v>55200598</v>
      </c>
      <c r="D39" s="86">
        <f t="shared" ref="D39:E39" si="17">D33+D38</f>
        <v>50893331</v>
      </c>
      <c r="E39" s="86">
        <f t="shared" si="17"/>
        <v>17673875</v>
      </c>
      <c r="F39" s="87">
        <f t="shared" si="16"/>
        <v>0.34727290693548829</v>
      </c>
    </row>
    <row r="40" spans="1:6" ht="15.75" x14ac:dyDescent="0.25">
      <c r="A40" s="85"/>
      <c r="B40" s="85"/>
      <c r="C40" s="86"/>
      <c r="D40" s="86"/>
      <c r="E40" s="86"/>
      <c r="F40" s="87"/>
    </row>
    <row r="41" spans="1:6" ht="15.75" x14ac:dyDescent="0.25">
      <c r="A41" s="85"/>
      <c r="B41" s="85"/>
      <c r="C41" s="86"/>
      <c r="D41" s="86"/>
      <c r="E41" s="86"/>
      <c r="F41" s="87"/>
    </row>
    <row r="42" spans="1:6" ht="15.75" x14ac:dyDescent="0.25">
      <c r="A42" s="124" t="s">
        <v>491</v>
      </c>
      <c r="B42" s="124"/>
      <c r="C42" s="124"/>
      <c r="D42" s="81"/>
      <c r="E42" s="81"/>
      <c r="F42" s="81"/>
    </row>
    <row r="43" spans="1:6" x14ac:dyDescent="0.25">
      <c r="A43" t="s">
        <v>466</v>
      </c>
      <c r="B43" s="45" t="s">
        <v>468</v>
      </c>
      <c r="C43" s="3">
        <v>1769911</v>
      </c>
      <c r="D43" s="3">
        <v>1769911</v>
      </c>
      <c r="E43" s="3"/>
      <c r="F43" s="10">
        <f t="shared" ref="F43:F47" si="18">E43/D43</f>
        <v>0</v>
      </c>
    </row>
    <row r="44" spans="1:6" x14ac:dyDescent="0.25">
      <c r="A44" s="4" t="s">
        <v>15</v>
      </c>
      <c r="B44" s="4" t="s">
        <v>416</v>
      </c>
      <c r="C44" s="5">
        <f>SUM(C43)</f>
        <v>1769911</v>
      </c>
      <c r="D44" s="5">
        <f>SUM(D43)</f>
        <v>1769911</v>
      </c>
      <c r="E44" s="5">
        <f t="shared" ref="E44" si="19">SUM(E43)</f>
        <v>0</v>
      </c>
      <c r="F44" s="11">
        <f t="shared" si="18"/>
        <v>0</v>
      </c>
    </row>
    <row r="45" spans="1:6" x14ac:dyDescent="0.25">
      <c r="A45" t="s">
        <v>17</v>
      </c>
      <c r="B45" s="45" t="s">
        <v>469</v>
      </c>
      <c r="C45" s="3">
        <v>230089</v>
      </c>
      <c r="D45" s="3">
        <v>230089</v>
      </c>
      <c r="E45" s="3"/>
      <c r="F45" s="10">
        <f t="shared" si="18"/>
        <v>0</v>
      </c>
    </row>
    <row r="46" spans="1:6" x14ac:dyDescent="0.25">
      <c r="A46" s="4" t="s">
        <v>17</v>
      </c>
      <c r="B46" s="4" t="s">
        <v>18</v>
      </c>
      <c r="C46" s="5">
        <f>SUM(C45)</f>
        <v>230089</v>
      </c>
      <c r="D46" s="5">
        <f>SUM(D45)</f>
        <v>230089</v>
      </c>
      <c r="E46" s="5">
        <f t="shared" ref="E46" si="20">SUM(E45)</f>
        <v>0</v>
      </c>
      <c r="F46" s="11">
        <f t="shared" si="18"/>
        <v>0</v>
      </c>
    </row>
    <row r="47" spans="1:6" x14ac:dyDescent="0.25">
      <c r="A47" t="s">
        <v>25</v>
      </c>
      <c r="B47" s="56" t="s">
        <v>467</v>
      </c>
      <c r="C47" s="3">
        <v>80000</v>
      </c>
      <c r="D47" s="3">
        <v>80000</v>
      </c>
      <c r="E47" s="3"/>
      <c r="F47" s="10">
        <f t="shared" si="18"/>
        <v>0</v>
      </c>
    </row>
    <row r="48" spans="1:6" x14ac:dyDescent="0.25">
      <c r="A48" t="s">
        <v>30</v>
      </c>
      <c r="B48" s="56" t="s">
        <v>492</v>
      </c>
      <c r="C48" s="3">
        <v>4724410</v>
      </c>
      <c r="D48" s="3">
        <v>4724410</v>
      </c>
      <c r="E48" s="3"/>
      <c r="F48" s="10"/>
    </row>
    <row r="49" spans="1:6" x14ac:dyDescent="0.25">
      <c r="B49" s="56" t="s">
        <v>493</v>
      </c>
      <c r="C49" s="3">
        <v>7300000</v>
      </c>
      <c r="D49" s="3">
        <v>7300000</v>
      </c>
      <c r="E49" s="3"/>
      <c r="F49" s="10"/>
    </row>
    <row r="50" spans="1:6" x14ac:dyDescent="0.25">
      <c r="B50" s="56" t="s">
        <v>494</v>
      </c>
      <c r="C50" s="3">
        <v>100000</v>
      </c>
      <c r="D50" s="3">
        <v>100000</v>
      </c>
      <c r="E50" s="3"/>
      <c r="F50" s="10"/>
    </row>
    <row r="51" spans="1:6" x14ac:dyDescent="0.25">
      <c r="A51" t="s">
        <v>36</v>
      </c>
      <c r="B51" s="56" t="s">
        <v>495</v>
      </c>
      <c r="C51" s="3">
        <v>270394</v>
      </c>
      <c r="D51" s="3">
        <v>270394</v>
      </c>
      <c r="E51" s="3"/>
      <c r="F51" s="10"/>
    </row>
    <row r="52" spans="1:6" x14ac:dyDescent="0.25">
      <c r="A52" t="s">
        <v>250</v>
      </c>
      <c r="B52" s="56" t="s">
        <v>471</v>
      </c>
      <c r="C52" s="3">
        <v>3103835</v>
      </c>
      <c r="D52" s="3">
        <v>3103835</v>
      </c>
      <c r="E52" s="3"/>
      <c r="F52" s="10">
        <f t="shared" ref="F52" si="21">E52/D52</f>
        <v>0</v>
      </c>
    </row>
    <row r="53" spans="1:6" x14ac:dyDescent="0.25">
      <c r="A53" t="s">
        <v>44</v>
      </c>
      <c r="B53" s="56" t="s">
        <v>472</v>
      </c>
      <c r="C53" s="3">
        <v>21600</v>
      </c>
      <c r="D53" s="3">
        <v>21600</v>
      </c>
      <c r="E53" s="3"/>
      <c r="F53" s="10"/>
    </row>
    <row r="54" spans="1:6" x14ac:dyDescent="0.25">
      <c r="B54" s="56" t="s">
        <v>496</v>
      </c>
      <c r="C54" s="3">
        <v>1275590</v>
      </c>
      <c r="D54" s="3">
        <v>1275590</v>
      </c>
      <c r="E54" s="3"/>
      <c r="F54" s="10"/>
    </row>
    <row r="55" spans="1:6" x14ac:dyDescent="0.25">
      <c r="B55" s="56" t="s">
        <v>473</v>
      </c>
      <c r="C55" s="3">
        <v>838036</v>
      </c>
      <c r="D55" s="3">
        <v>838036</v>
      </c>
      <c r="E55" s="3"/>
      <c r="F55" s="10"/>
    </row>
    <row r="56" spans="1:6" x14ac:dyDescent="0.25">
      <c r="B56" s="56" t="s">
        <v>497</v>
      </c>
      <c r="C56" s="3">
        <v>73006</v>
      </c>
      <c r="D56" s="3">
        <v>73006</v>
      </c>
      <c r="E56" s="3"/>
      <c r="F56" s="10"/>
    </row>
    <row r="57" spans="1:6" x14ac:dyDescent="0.25">
      <c r="A57" s="4" t="s">
        <v>52</v>
      </c>
      <c r="B57" s="4" t="s">
        <v>53</v>
      </c>
      <c r="C57" s="5">
        <f>SUM(C47:C56)</f>
        <v>17786871</v>
      </c>
      <c r="D57" s="5">
        <f t="shared" ref="D57:E57" si="22">SUM(D47:D56)</f>
        <v>17786871</v>
      </c>
      <c r="E57" s="5">
        <f t="shared" si="22"/>
        <v>0</v>
      </c>
      <c r="F57" s="11">
        <f t="shared" ref="F57:F58" si="23">E57/D57</f>
        <v>0</v>
      </c>
    </row>
    <row r="58" spans="1:6" x14ac:dyDescent="0.25">
      <c r="A58" t="s">
        <v>230</v>
      </c>
      <c r="B58" s="56" t="s">
        <v>487</v>
      </c>
      <c r="C58" s="3">
        <v>496083881</v>
      </c>
      <c r="D58" s="3">
        <v>496083881</v>
      </c>
      <c r="E58" s="3"/>
      <c r="F58" s="10">
        <f t="shared" si="23"/>
        <v>0</v>
      </c>
    </row>
    <row r="59" spans="1:6" x14ac:dyDescent="0.25">
      <c r="B59" s="56" t="s">
        <v>498</v>
      </c>
      <c r="C59" s="3">
        <v>3980000</v>
      </c>
      <c r="D59" s="3">
        <v>3980000</v>
      </c>
      <c r="E59" s="3">
        <v>3980000</v>
      </c>
      <c r="F59" s="10"/>
    </row>
    <row r="60" spans="1:6" s="4" customFormat="1" x14ac:dyDescent="0.25">
      <c r="A60" t="s">
        <v>231</v>
      </c>
      <c r="B60" s="56" t="s">
        <v>489</v>
      </c>
      <c r="C60" s="3">
        <v>133942648</v>
      </c>
      <c r="D60" s="3">
        <v>133942648</v>
      </c>
      <c r="E60" s="3"/>
      <c r="F60" s="10"/>
    </row>
    <row r="61" spans="1:6" s="4" customFormat="1" x14ac:dyDescent="0.25">
      <c r="A61"/>
      <c r="B61" s="56" t="s">
        <v>499</v>
      </c>
      <c r="C61" s="3">
        <v>1074600</v>
      </c>
      <c r="D61" s="3">
        <v>1074600</v>
      </c>
      <c r="E61" s="3">
        <v>1074600</v>
      </c>
      <c r="F61" s="10"/>
    </row>
    <row r="62" spans="1:6" s="4" customFormat="1" x14ac:dyDescent="0.25">
      <c r="A62" s="4" t="s">
        <v>232</v>
      </c>
      <c r="B62" s="4" t="s">
        <v>233</v>
      </c>
      <c r="C62" s="5">
        <f>SUM(C58:C61)</f>
        <v>635081129</v>
      </c>
      <c r="D62" s="5">
        <f>SUM(D58:D61)</f>
        <v>635081129</v>
      </c>
      <c r="E62" s="5">
        <f>SUM(E58:E61)</f>
        <v>5054600</v>
      </c>
      <c r="F62" s="11">
        <f t="shared" ref="F62:F63" si="24">E62/D62</f>
        <v>7.9589831427663155E-3</v>
      </c>
    </row>
    <row r="63" spans="1:6" s="4" customFormat="1" ht="15.75" x14ac:dyDescent="0.25">
      <c r="A63" s="122" t="s">
        <v>480</v>
      </c>
      <c r="B63" s="122"/>
      <c r="C63" s="86">
        <f>C44+C46+C57+C62</f>
        <v>654868000</v>
      </c>
      <c r="D63" s="86">
        <f>D44+D46+D57+D62</f>
        <v>654868000</v>
      </c>
      <c r="E63" s="86">
        <f>E44+E46+E57+E62</f>
        <v>5054600</v>
      </c>
      <c r="F63" s="87">
        <f t="shared" si="24"/>
        <v>7.7185020492679442E-3</v>
      </c>
    </row>
    <row r="64" spans="1:6" s="4" customFormat="1" ht="15.75" x14ac:dyDescent="0.25">
      <c r="A64" s="85"/>
      <c r="B64" s="85"/>
      <c r="C64" s="86"/>
      <c r="D64" s="86"/>
      <c r="E64" s="86"/>
      <c r="F64" s="87"/>
    </row>
    <row r="65" spans="1:6" s="4" customFormat="1" ht="15.75" x14ac:dyDescent="0.25">
      <c r="A65" s="85"/>
      <c r="B65" s="85"/>
      <c r="C65" s="86"/>
      <c r="D65" s="86"/>
      <c r="E65" s="86"/>
      <c r="F65" s="87"/>
    </row>
    <row r="66" spans="1:6" s="4" customFormat="1" ht="32.25" customHeight="1" x14ac:dyDescent="0.25">
      <c r="A66" s="123" t="s">
        <v>500</v>
      </c>
      <c r="B66" s="123"/>
      <c r="C66" s="86"/>
      <c r="D66" s="86"/>
      <c r="E66" s="86"/>
      <c r="F66" s="87"/>
    </row>
    <row r="67" spans="1:6" x14ac:dyDescent="0.25">
      <c r="A67" t="s">
        <v>30</v>
      </c>
      <c r="B67" s="56" t="s">
        <v>501</v>
      </c>
      <c r="C67" s="3">
        <v>1416778</v>
      </c>
      <c r="D67" s="3">
        <v>1416778</v>
      </c>
      <c r="E67" s="3"/>
      <c r="F67" s="10">
        <f t="shared" ref="F67" si="25">E67/D67</f>
        <v>0</v>
      </c>
    </row>
    <row r="68" spans="1:6" x14ac:dyDescent="0.25">
      <c r="A68" t="s">
        <v>44</v>
      </c>
      <c r="B68" s="56" t="s">
        <v>502</v>
      </c>
      <c r="C68" s="3">
        <v>382530</v>
      </c>
      <c r="D68" s="3">
        <v>382530</v>
      </c>
      <c r="E68" s="3"/>
      <c r="F68" s="10"/>
    </row>
    <row r="69" spans="1:6" x14ac:dyDescent="0.25">
      <c r="A69" s="4" t="s">
        <v>52</v>
      </c>
      <c r="B69" s="4" t="s">
        <v>53</v>
      </c>
      <c r="C69" s="5">
        <f>SUM(C66:C68)</f>
        <v>1799308</v>
      </c>
      <c r="D69" s="5">
        <f>SUM(D66:D68)</f>
        <v>1799308</v>
      </c>
      <c r="E69" s="5">
        <f>SUM(E66:E68)</f>
        <v>0</v>
      </c>
      <c r="F69" s="11">
        <f t="shared" ref="F69:F70" si="26">E69/D69</f>
        <v>0</v>
      </c>
    </row>
    <row r="70" spans="1:6" x14ac:dyDescent="0.25">
      <c r="A70" t="s">
        <v>230</v>
      </c>
      <c r="B70" s="56" t="s">
        <v>503</v>
      </c>
      <c r="C70" s="3">
        <v>14498588</v>
      </c>
      <c r="D70" s="3">
        <v>14498588</v>
      </c>
      <c r="E70" s="3"/>
      <c r="F70" s="10">
        <f t="shared" si="26"/>
        <v>0</v>
      </c>
    </row>
    <row r="71" spans="1:6" x14ac:dyDescent="0.25">
      <c r="A71" t="s">
        <v>231</v>
      </c>
      <c r="B71" s="56" t="s">
        <v>504</v>
      </c>
      <c r="C71" s="3">
        <v>3914619</v>
      </c>
      <c r="D71" s="3">
        <v>3914619</v>
      </c>
      <c r="E71" s="3"/>
      <c r="F71" s="10"/>
    </row>
    <row r="72" spans="1:6" x14ac:dyDescent="0.25">
      <c r="A72" s="4" t="s">
        <v>232</v>
      </c>
      <c r="B72" s="4" t="s">
        <v>233</v>
      </c>
      <c r="C72" s="5">
        <f>SUM(C70:C71)</f>
        <v>18413207</v>
      </c>
      <c r="D72" s="5">
        <f>SUM(D70:D71)</f>
        <v>18413207</v>
      </c>
      <c r="E72" s="5">
        <f>SUM(E70:E71)</f>
        <v>0</v>
      </c>
      <c r="F72" s="11">
        <f t="shared" ref="F72:F73" si="27">E72/D72</f>
        <v>0</v>
      </c>
    </row>
    <row r="73" spans="1:6" ht="15.75" x14ac:dyDescent="0.25">
      <c r="A73" s="122" t="s">
        <v>480</v>
      </c>
      <c r="B73" s="122"/>
      <c r="C73" s="86">
        <f>C69+C72</f>
        <v>20212515</v>
      </c>
      <c r="D73" s="86">
        <f>D69+D72</f>
        <v>20212515</v>
      </c>
      <c r="E73" s="86">
        <f>E69+E72</f>
        <v>0</v>
      </c>
      <c r="F73" s="87">
        <f t="shared" si="27"/>
        <v>0</v>
      </c>
    </row>
    <row r="74" spans="1:6" ht="15.75" x14ac:dyDescent="0.25">
      <c r="A74" s="85"/>
      <c r="B74" s="85"/>
      <c r="C74" s="86"/>
      <c r="D74" s="86"/>
      <c r="E74" s="86"/>
      <c r="F74" s="87"/>
    </row>
    <row r="75" spans="1:6" ht="15.75" x14ac:dyDescent="0.25">
      <c r="A75" s="85"/>
      <c r="B75" s="85"/>
      <c r="C75" s="86"/>
      <c r="D75" s="86"/>
      <c r="E75" s="86"/>
      <c r="F75" s="87"/>
    </row>
    <row r="76" spans="1:6" x14ac:dyDescent="0.25">
      <c r="A76" s="123" t="s">
        <v>505</v>
      </c>
      <c r="B76" s="123" t="s">
        <v>422</v>
      </c>
      <c r="C76" s="3"/>
      <c r="D76" s="3"/>
      <c r="E76" s="3"/>
      <c r="F76" s="10"/>
    </row>
    <row r="77" spans="1:6" x14ac:dyDescent="0.25">
      <c r="A77" t="s">
        <v>48</v>
      </c>
      <c r="B77" s="56" t="s">
        <v>693</v>
      </c>
      <c r="C77" s="3">
        <v>0</v>
      </c>
      <c r="D77" s="3">
        <v>335400</v>
      </c>
      <c r="E77" s="74">
        <f>147000+188400</f>
        <v>335400</v>
      </c>
      <c r="F77" s="10"/>
    </row>
    <row r="78" spans="1:6" x14ac:dyDescent="0.25">
      <c r="A78" s="4" t="s">
        <v>52</v>
      </c>
      <c r="B78" s="4" t="s">
        <v>53</v>
      </c>
      <c r="C78" s="5">
        <f>SUM(C77)</f>
        <v>0</v>
      </c>
      <c r="D78" s="5">
        <f t="shared" ref="D78:E78" si="28">SUM(D77)</f>
        <v>335400</v>
      </c>
      <c r="E78" s="5">
        <f t="shared" si="28"/>
        <v>335400</v>
      </c>
      <c r="F78" s="11">
        <f t="shared" ref="F78" si="29">E78/D78</f>
        <v>1</v>
      </c>
    </row>
    <row r="79" spans="1:6" s="4" customFormat="1" x14ac:dyDescent="0.25">
      <c r="A79" t="s">
        <v>153</v>
      </c>
      <c r="B79" s="46" t="s">
        <v>506</v>
      </c>
      <c r="C79" s="3">
        <v>6002373</v>
      </c>
      <c r="D79" s="3">
        <v>6002373</v>
      </c>
      <c r="E79" s="3"/>
      <c r="F79" s="10">
        <f t="shared" ref="F79:F137" si="30">E79/D79</f>
        <v>0</v>
      </c>
    </row>
    <row r="80" spans="1:6" s="4" customFormat="1" x14ac:dyDescent="0.25">
      <c r="A80" t="s">
        <v>154</v>
      </c>
      <c r="B80" s="46" t="s">
        <v>507</v>
      </c>
      <c r="C80" s="3">
        <v>1620640</v>
      </c>
      <c r="D80" s="3">
        <v>1620640</v>
      </c>
      <c r="E80" s="3"/>
      <c r="F80" s="10">
        <f t="shared" si="30"/>
        <v>0</v>
      </c>
    </row>
    <row r="81" spans="1:6" x14ac:dyDescent="0.25">
      <c r="A81" s="4" t="s">
        <v>155</v>
      </c>
      <c r="B81" s="4" t="s">
        <v>224</v>
      </c>
      <c r="C81" s="5">
        <f>SUM(C79:C80)</f>
        <v>7623013</v>
      </c>
      <c r="D81" s="5">
        <f>SUM(D79:D80)</f>
        <v>7623013</v>
      </c>
      <c r="E81" s="5">
        <f>SUM(E79:E80)</f>
        <v>0</v>
      </c>
      <c r="F81" s="11">
        <f t="shared" si="30"/>
        <v>0</v>
      </c>
    </row>
    <row r="82" spans="1:6" ht="15.75" x14ac:dyDescent="0.25">
      <c r="A82" s="122" t="s">
        <v>480</v>
      </c>
      <c r="B82" s="122"/>
      <c r="C82" s="86">
        <f>C78+C81</f>
        <v>7623013</v>
      </c>
      <c r="D82" s="86">
        <f t="shared" ref="D82:E82" si="31">D78+D81</f>
        <v>7958413</v>
      </c>
      <c r="E82" s="86">
        <f t="shared" si="31"/>
        <v>335400</v>
      </c>
      <c r="F82" s="87">
        <f t="shared" si="30"/>
        <v>4.2144080735694416E-2</v>
      </c>
    </row>
    <row r="83" spans="1:6" x14ac:dyDescent="0.25">
      <c r="A83" s="4"/>
      <c r="B83" s="4"/>
      <c r="C83" s="5"/>
      <c r="D83" s="5"/>
      <c r="E83" s="5"/>
      <c r="F83" s="11"/>
    </row>
    <row r="84" spans="1:6" x14ac:dyDescent="0.25">
      <c r="A84" s="4"/>
      <c r="B84" s="4"/>
      <c r="C84" s="5"/>
      <c r="D84" s="5"/>
      <c r="E84" s="5"/>
      <c r="F84" s="11"/>
    </row>
    <row r="85" spans="1:6" x14ac:dyDescent="0.25">
      <c r="A85" s="123" t="s">
        <v>508</v>
      </c>
      <c r="B85" s="123" t="s">
        <v>422</v>
      </c>
      <c r="C85" s="3"/>
      <c r="D85" s="3"/>
      <c r="E85" s="74"/>
      <c r="F85" s="10"/>
    </row>
    <row r="86" spans="1:6" s="4" customFormat="1" ht="30" x14ac:dyDescent="0.25">
      <c r="A86" t="s">
        <v>290</v>
      </c>
      <c r="B86" s="73" t="s">
        <v>690</v>
      </c>
      <c r="C86" s="3">
        <v>0</v>
      </c>
      <c r="D86" s="3">
        <v>0</v>
      </c>
      <c r="E86" s="74">
        <v>7604</v>
      </c>
      <c r="F86" s="10"/>
    </row>
    <row r="87" spans="1:6" s="4" customFormat="1" x14ac:dyDescent="0.25">
      <c r="A87" t="s">
        <v>20</v>
      </c>
      <c r="B87" s="102" t="s">
        <v>697</v>
      </c>
      <c r="C87" s="3">
        <v>0</v>
      </c>
      <c r="D87" s="3">
        <v>0</v>
      </c>
      <c r="E87" s="74">
        <v>1961</v>
      </c>
      <c r="F87" s="10"/>
    </row>
    <row r="88" spans="1:6" s="4" customFormat="1" ht="30" x14ac:dyDescent="0.25">
      <c r="A88" t="s">
        <v>30</v>
      </c>
      <c r="B88" s="46" t="s">
        <v>509</v>
      </c>
      <c r="C88" s="3">
        <v>120000</v>
      </c>
      <c r="D88" s="3">
        <v>120000</v>
      </c>
      <c r="E88" s="74">
        <v>120000</v>
      </c>
      <c r="F88" s="10">
        <f t="shared" ref="F88:F103" si="32">E88/D88</f>
        <v>1</v>
      </c>
    </row>
    <row r="89" spans="1:6" s="4" customFormat="1" ht="30" x14ac:dyDescent="0.25">
      <c r="A89"/>
      <c r="B89" s="46" t="s">
        <v>510</v>
      </c>
      <c r="C89" s="3">
        <v>3250000</v>
      </c>
      <c r="D89" s="3">
        <v>3250000</v>
      </c>
      <c r="E89" s="74"/>
      <c r="F89" s="10">
        <f t="shared" si="32"/>
        <v>0</v>
      </c>
    </row>
    <row r="90" spans="1:6" s="4" customFormat="1" x14ac:dyDescent="0.25">
      <c r="A90" t="s">
        <v>36</v>
      </c>
      <c r="B90" s="46" t="s">
        <v>511</v>
      </c>
      <c r="C90" s="3">
        <v>551181</v>
      </c>
      <c r="D90" s="3">
        <v>551181</v>
      </c>
      <c r="E90" s="74">
        <v>782738</v>
      </c>
      <c r="F90" s="10"/>
    </row>
    <row r="91" spans="1:6" s="4" customFormat="1" x14ac:dyDescent="0.25">
      <c r="A91"/>
      <c r="B91" s="56" t="s">
        <v>687</v>
      </c>
      <c r="C91" s="3"/>
      <c r="D91" s="3"/>
      <c r="E91" s="74">
        <v>8500</v>
      </c>
      <c r="F91" s="10"/>
    </row>
    <row r="92" spans="1:6" s="4" customFormat="1" ht="30" x14ac:dyDescent="0.25">
      <c r="A92"/>
      <c r="B92" s="73" t="s">
        <v>688</v>
      </c>
      <c r="C92" s="3"/>
      <c r="D92" s="3"/>
      <c r="E92" s="74">
        <v>14000</v>
      </c>
      <c r="F92" s="10"/>
    </row>
    <row r="93" spans="1:6" s="4" customFormat="1" ht="30" x14ac:dyDescent="0.25">
      <c r="A93"/>
      <c r="B93" s="73" t="s">
        <v>692</v>
      </c>
      <c r="C93" s="3"/>
      <c r="D93" s="3"/>
      <c r="E93" s="74">
        <v>42770</v>
      </c>
      <c r="F93" s="10"/>
    </row>
    <row r="94" spans="1:6" s="4" customFormat="1" x14ac:dyDescent="0.25">
      <c r="A94"/>
      <c r="B94" s="73" t="s">
        <v>689</v>
      </c>
      <c r="C94" s="3"/>
      <c r="D94" s="3"/>
      <c r="E94" s="74">
        <v>38000</v>
      </c>
      <c r="F94" s="10"/>
    </row>
    <row r="95" spans="1:6" s="4" customFormat="1" ht="30" x14ac:dyDescent="0.25">
      <c r="A95" t="s">
        <v>44</v>
      </c>
      <c r="B95" s="46" t="s">
        <v>512</v>
      </c>
      <c r="C95" s="3">
        <v>32400</v>
      </c>
      <c r="D95" s="3">
        <v>32400</v>
      </c>
      <c r="E95" s="74">
        <f>32400</f>
        <v>32400</v>
      </c>
      <c r="F95" s="10"/>
    </row>
    <row r="96" spans="1:6" s="4" customFormat="1" x14ac:dyDescent="0.25">
      <c r="A96"/>
      <c r="B96" s="102" t="s">
        <v>698</v>
      </c>
      <c r="C96" s="3">
        <v>0</v>
      </c>
      <c r="D96" s="3">
        <v>0</v>
      </c>
      <c r="E96" s="74">
        <v>529</v>
      </c>
      <c r="F96" s="10"/>
    </row>
    <row r="97" spans="1:6" s="4" customFormat="1" x14ac:dyDescent="0.25">
      <c r="A97"/>
      <c r="B97" s="46" t="s">
        <v>691</v>
      </c>
      <c r="C97" s="3">
        <v>0</v>
      </c>
      <c r="D97" s="3">
        <v>0</v>
      </c>
      <c r="E97" s="74">
        <v>2053</v>
      </c>
      <c r="F97" s="10"/>
    </row>
    <row r="98" spans="1:6" s="4" customFormat="1" ht="30" x14ac:dyDescent="0.25">
      <c r="A98"/>
      <c r="B98" s="46" t="s">
        <v>513</v>
      </c>
      <c r="C98" s="3">
        <v>877500</v>
      </c>
      <c r="D98" s="3">
        <v>877500</v>
      </c>
      <c r="E98" s="74"/>
      <c r="F98" s="10"/>
    </row>
    <row r="99" spans="1:6" s="4" customFormat="1" x14ac:dyDescent="0.25">
      <c r="A99"/>
      <c r="B99" s="46" t="s">
        <v>514</v>
      </c>
      <c r="C99" s="3">
        <v>148819</v>
      </c>
      <c r="D99" s="3">
        <v>148819</v>
      </c>
      <c r="E99" s="74">
        <v>211339</v>
      </c>
      <c r="F99" s="10"/>
    </row>
    <row r="100" spans="1:6" x14ac:dyDescent="0.25">
      <c r="A100" s="4" t="s">
        <v>52</v>
      </c>
      <c r="B100" s="4" t="s">
        <v>53</v>
      </c>
      <c r="C100" s="5">
        <f>SUM(C86:C99)</f>
        <v>4979900</v>
      </c>
      <c r="D100" s="5">
        <f t="shared" ref="D100:E100" si="33">SUM(D86:D99)</f>
        <v>4979900</v>
      </c>
      <c r="E100" s="5">
        <f t="shared" si="33"/>
        <v>1261894</v>
      </c>
      <c r="F100" s="11">
        <f t="shared" ref="F100" si="34">E100/D100</f>
        <v>0.25339745778027672</v>
      </c>
    </row>
    <row r="101" spans="1:6" x14ac:dyDescent="0.25">
      <c r="A101" t="s">
        <v>230</v>
      </c>
      <c r="B101" s="56" t="s">
        <v>515</v>
      </c>
      <c r="C101" s="3">
        <v>200000</v>
      </c>
      <c r="D101" s="3">
        <v>200000</v>
      </c>
      <c r="E101" s="3"/>
      <c r="F101" s="10"/>
    </row>
    <row r="102" spans="1:6" x14ac:dyDescent="0.25">
      <c r="A102" s="4" t="s">
        <v>232</v>
      </c>
      <c r="B102" s="4" t="s">
        <v>233</v>
      </c>
      <c r="C102" s="5">
        <f>SUM(C101)</f>
        <v>200000</v>
      </c>
      <c r="D102" s="5">
        <f t="shared" ref="D102:E102" si="35">SUM(D101)</f>
        <v>200000</v>
      </c>
      <c r="E102" s="5">
        <f t="shared" si="35"/>
        <v>0</v>
      </c>
      <c r="F102" s="11">
        <f t="shared" ref="F102" si="36">E102/D102</f>
        <v>0</v>
      </c>
    </row>
    <row r="103" spans="1:6" ht="15.75" x14ac:dyDescent="0.25">
      <c r="A103" s="122" t="s">
        <v>480</v>
      </c>
      <c r="B103" s="122"/>
      <c r="C103" s="86">
        <f>SUM(C102,C100)</f>
        <v>5179900</v>
      </c>
      <c r="D103" s="86">
        <f t="shared" ref="D103:E103" si="37">SUM(D102,D100)</f>
        <v>5179900</v>
      </c>
      <c r="E103" s="86">
        <f t="shared" si="37"/>
        <v>1261894</v>
      </c>
      <c r="F103" s="87">
        <f t="shared" si="32"/>
        <v>0.24361358327380839</v>
      </c>
    </row>
    <row r="104" spans="1:6" x14ac:dyDescent="0.25">
      <c r="C104" s="3"/>
      <c r="D104" s="3"/>
      <c r="E104" s="3"/>
      <c r="F104" s="10"/>
    </row>
    <row r="105" spans="1:6" x14ac:dyDescent="0.25">
      <c r="C105" s="3"/>
      <c r="D105" s="3"/>
      <c r="E105" s="3"/>
      <c r="F105" s="10"/>
    </row>
    <row r="106" spans="1:6" s="4" customFormat="1" ht="32.25" customHeight="1" x14ac:dyDescent="0.25">
      <c r="A106" s="123" t="s">
        <v>618</v>
      </c>
      <c r="B106" s="123"/>
      <c r="C106" s="86"/>
      <c r="D106" s="86"/>
      <c r="E106" s="86"/>
      <c r="F106" s="87"/>
    </row>
    <row r="107" spans="1:6" x14ac:dyDescent="0.25">
      <c r="A107" t="s">
        <v>2</v>
      </c>
      <c r="B107" s="45" t="s">
        <v>619</v>
      </c>
      <c r="C107" s="3">
        <v>0</v>
      </c>
      <c r="D107" s="3">
        <f>9600000-18666</f>
        <v>9581334</v>
      </c>
      <c r="E107" s="3">
        <v>1200000</v>
      </c>
      <c r="F107" s="10">
        <f t="shared" ref="F107:F111" si="38">E107/D107</f>
        <v>0.12524352036991926</v>
      </c>
    </row>
    <row r="108" spans="1:6" x14ac:dyDescent="0.25">
      <c r="A108" t="s">
        <v>412</v>
      </c>
      <c r="B108" s="45" t="s">
        <v>683</v>
      </c>
      <c r="C108" s="3">
        <v>0</v>
      </c>
      <c r="D108" s="3">
        <v>18666</v>
      </c>
      <c r="E108" s="3">
        <v>18666</v>
      </c>
      <c r="F108" s="10">
        <f t="shared" si="38"/>
        <v>1</v>
      </c>
    </row>
    <row r="109" spans="1:6" x14ac:dyDescent="0.25">
      <c r="A109" t="s">
        <v>564</v>
      </c>
      <c r="B109" s="45" t="s">
        <v>620</v>
      </c>
      <c r="C109" s="3">
        <v>0</v>
      </c>
      <c r="D109" s="3">
        <v>12984577</v>
      </c>
      <c r="E109" s="3">
        <v>1790000</v>
      </c>
      <c r="F109" s="10">
        <f t="shared" si="38"/>
        <v>0.1378558577610961</v>
      </c>
    </row>
    <row r="110" spans="1:6" x14ac:dyDescent="0.25">
      <c r="A110" s="4" t="s">
        <v>15</v>
      </c>
      <c r="B110" s="4" t="s">
        <v>416</v>
      </c>
      <c r="C110" s="5">
        <f>SUM(C107:C109)</f>
        <v>0</v>
      </c>
      <c r="D110" s="5">
        <f t="shared" ref="D110:E110" si="39">SUM(D107:D109)</f>
        <v>22584577</v>
      </c>
      <c r="E110" s="5">
        <f t="shared" si="39"/>
        <v>3008666</v>
      </c>
      <c r="F110" s="11">
        <f t="shared" si="38"/>
        <v>0.13321772641568624</v>
      </c>
    </row>
    <row r="111" spans="1:6" x14ac:dyDescent="0.25">
      <c r="A111" s="4" t="s">
        <v>17</v>
      </c>
      <c r="B111" s="4" t="s">
        <v>18</v>
      </c>
      <c r="C111" s="5">
        <v>0</v>
      </c>
      <c r="D111" s="5">
        <v>2844491</v>
      </c>
      <c r="E111" s="5">
        <v>365430</v>
      </c>
      <c r="F111" s="11">
        <f t="shared" si="38"/>
        <v>0.12846938169254182</v>
      </c>
    </row>
    <row r="112" spans="1:6" x14ac:dyDescent="0.25">
      <c r="A112" t="s">
        <v>20</v>
      </c>
      <c r="B112" s="56" t="s">
        <v>621</v>
      </c>
      <c r="C112" s="3">
        <v>0</v>
      </c>
      <c r="D112" s="3">
        <v>2466142</v>
      </c>
      <c r="E112" s="3"/>
      <c r="F112" s="10">
        <f t="shared" ref="F112:F117" si="40">E112/D112</f>
        <v>0</v>
      </c>
    </row>
    <row r="113" spans="1:6" x14ac:dyDescent="0.25">
      <c r="A113" t="s">
        <v>25</v>
      </c>
      <c r="B113" s="56" t="s">
        <v>624</v>
      </c>
      <c r="C113" s="3">
        <v>0</v>
      </c>
      <c r="D113" s="3">
        <v>583600</v>
      </c>
      <c r="E113" s="3"/>
      <c r="F113" s="10">
        <f t="shared" si="40"/>
        <v>0</v>
      </c>
    </row>
    <row r="114" spans="1:6" x14ac:dyDescent="0.25">
      <c r="A114" t="s">
        <v>267</v>
      </c>
      <c r="B114" s="56" t="s">
        <v>685</v>
      </c>
      <c r="C114" s="3">
        <v>0</v>
      </c>
      <c r="D114" s="3">
        <v>320000</v>
      </c>
      <c r="E114" s="74">
        <v>320000</v>
      </c>
      <c r="F114" s="10">
        <f t="shared" si="40"/>
        <v>1</v>
      </c>
    </row>
    <row r="115" spans="1:6" x14ac:dyDescent="0.25">
      <c r="A115" t="s">
        <v>30</v>
      </c>
      <c r="B115" s="56" t="s">
        <v>695</v>
      </c>
      <c r="C115" s="3">
        <v>0</v>
      </c>
      <c r="D115" s="3">
        <f>9399400-1035000</f>
        <v>8364400</v>
      </c>
      <c r="E115" s="74">
        <v>300000</v>
      </c>
      <c r="F115" s="10">
        <f t="shared" si="40"/>
        <v>3.5866290469131076E-2</v>
      </c>
    </row>
    <row r="116" spans="1:6" x14ac:dyDescent="0.25">
      <c r="A116" t="s">
        <v>36</v>
      </c>
      <c r="B116" s="56" t="s">
        <v>623</v>
      </c>
      <c r="C116" s="3">
        <v>0</v>
      </c>
      <c r="D116" s="3">
        <v>21711532</v>
      </c>
      <c r="E116" s="74">
        <f>37000+210000+1211000+2430000</f>
        <v>3888000</v>
      </c>
      <c r="F116" s="10">
        <f t="shared" si="40"/>
        <v>0.1790753411597118</v>
      </c>
    </row>
    <row r="117" spans="1:6" x14ac:dyDescent="0.25">
      <c r="A117" t="s">
        <v>44</v>
      </c>
      <c r="B117" s="56" t="s">
        <v>625</v>
      </c>
      <c r="C117" s="3">
        <v>0</v>
      </c>
      <c r="D117" s="3">
        <v>7424372</v>
      </c>
      <c r="E117" s="74">
        <f>86400+326970+656100</f>
        <v>1069470</v>
      </c>
      <c r="F117" s="10">
        <f t="shared" si="40"/>
        <v>0.14404854713637733</v>
      </c>
    </row>
    <row r="118" spans="1:6" x14ac:dyDescent="0.25">
      <c r="A118" s="4" t="s">
        <v>52</v>
      </c>
      <c r="B118" s="4" t="s">
        <v>53</v>
      </c>
      <c r="C118" s="5">
        <f>SUM(C112:C117)</f>
        <v>0</v>
      </c>
      <c r="D118" s="5">
        <f>SUM(D112:D117)</f>
        <v>40870046</v>
      </c>
      <c r="E118" s="5">
        <f>SUM(E112:E117)</f>
        <v>5577470</v>
      </c>
      <c r="F118" s="11">
        <f t="shared" ref="F118:F119" si="41">E118/D118</f>
        <v>0.13646840524720721</v>
      </c>
    </row>
    <row r="119" spans="1:6" x14ac:dyDescent="0.25">
      <c r="A119" t="s">
        <v>229</v>
      </c>
      <c r="B119" s="56" t="s">
        <v>626</v>
      </c>
      <c r="C119" s="5">
        <f>SUM(C113:C118)</f>
        <v>0</v>
      </c>
      <c r="D119" s="3">
        <v>73834</v>
      </c>
      <c r="E119" s="3"/>
      <c r="F119" s="10">
        <f t="shared" si="41"/>
        <v>0</v>
      </c>
    </row>
    <row r="120" spans="1:6" x14ac:dyDescent="0.25">
      <c r="A120" t="s">
        <v>627</v>
      </c>
      <c r="B120" s="56" t="s">
        <v>628</v>
      </c>
      <c r="C120" s="5">
        <v>0</v>
      </c>
      <c r="D120" s="3">
        <v>629921</v>
      </c>
      <c r="E120" s="3"/>
      <c r="F120" s="10"/>
    </row>
    <row r="121" spans="1:6" x14ac:dyDescent="0.25">
      <c r="A121" t="s">
        <v>281</v>
      </c>
      <c r="B121" s="56" t="s">
        <v>629</v>
      </c>
      <c r="C121" s="5">
        <v>0</v>
      </c>
      <c r="D121" s="3">
        <v>1311921</v>
      </c>
      <c r="E121" s="3"/>
      <c r="F121" s="10"/>
    </row>
    <row r="122" spans="1:6" x14ac:dyDescent="0.25">
      <c r="A122" t="s">
        <v>231</v>
      </c>
      <c r="B122" s="56" t="s">
        <v>630</v>
      </c>
      <c r="C122" s="5">
        <f>SUM(C115:C119)</f>
        <v>0</v>
      </c>
      <c r="D122" s="3">
        <v>544233</v>
      </c>
      <c r="E122" s="3"/>
      <c r="F122" s="10"/>
    </row>
    <row r="123" spans="1:6" x14ac:dyDescent="0.25">
      <c r="A123" s="4" t="s">
        <v>232</v>
      </c>
      <c r="B123" s="4" t="s">
        <v>233</v>
      </c>
      <c r="C123" s="5">
        <f>SUM(C119:C122)</f>
        <v>0</v>
      </c>
      <c r="D123" s="5">
        <f t="shared" ref="D123:E123" si="42">SUM(D119:D122)</f>
        <v>2559909</v>
      </c>
      <c r="E123" s="5">
        <f t="shared" si="42"/>
        <v>0</v>
      </c>
      <c r="F123" s="11">
        <f t="shared" ref="F123:F124" si="43">E123/D123</f>
        <v>0</v>
      </c>
    </row>
    <row r="124" spans="1:6" ht="15.75" x14ac:dyDescent="0.25">
      <c r="A124" s="122" t="s">
        <v>480</v>
      </c>
      <c r="B124" s="122"/>
      <c r="C124" s="97">
        <f>SUM(C110+C111+C118+C123)</f>
        <v>0</v>
      </c>
      <c r="D124" s="97">
        <f>SUM(D110+D111+D118+D123)</f>
        <v>68859023</v>
      </c>
      <c r="E124" s="97">
        <f>SUM(E110+E111+E118+E123)</f>
        <v>8951566</v>
      </c>
      <c r="F124" s="87">
        <f t="shared" si="43"/>
        <v>0.12999844624574472</v>
      </c>
    </row>
    <row r="125" spans="1:6" x14ac:dyDescent="0.25">
      <c r="C125" s="3"/>
      <c r="D125" s="3"/>
      <c r="E125" s="3"/>
      <c r="F125" s="10"/>
    </row>
    <row r="126" spans="1:6" x14ac:dyDescent="0.25">
      <c r="C126" s="3"/>
      <c r="D126" s="3"/>
      <c r="E126" s="3"/>
      <c r="F126" s="10"/>
    </row>
    <row r="127" spans="1:6" s="4" customFormat="1" ht="32.25" customHeight="1" x14ac:dyDescent="0.25">
      <c r="A127" s="123" t="s">
        <v>694</v>
      </c>
      <c r="B127" s="123"/>
      <c r="C127" s="86"/>
      <c r="D127" s="86"/>
      <c r="E127" s="86"/>
      <c r="F127" s="87"/>
    </row>
    <row r="128" spans="1:6" x14ac:dyDescent="0.25">
      <c r="A128" t="s">
        <v>30</v>
      </c>
      <c r="B128" s="56" t="s">
        <v>622</v>
      </c>
      <c r="C128" s="3">
        <v>0</v>
      </c>
      <c r="D128" s="3">
        <v>687402</v>
      </c>
      <c r="E128" s="3"/>
      <c r="F128" s="10"/>
    </row>
    <row r="129" spans="1:6" x14ac:dyDescent="0.25">
      <c r="A129" t="s">
        <v>44</v>
      </c>
      <c r="B129" s="56" t="s">
        <v>625</v>
      </c>
      <c r="C129" s="3">
        <v>0</v>
      </c>
      <c r="D129" s="3">
        <v>185598</v>
      </c>
      <c r="E129" s="3"/>
      <c r="F129" s="10"/>
    </row>
    <row r="130" spans="1:6" x14ac:dyDescent="0.25">
      <c r="A130" s="4" t="s">
        <v>52</v>
      </c>
      <c r="B130" s="4" t="s">
        <v>53</v>
      </c>
      <c r="C130" s="5">
        <f>SUM(C128:C129)</f>
        <v>0</v>
      </c>
      <c r="D130" s="5">
        <f t="shared" ref="D130:E130" si="44">SUM(D128:D129)</f>
        <v>873000</v>
      </c>
      <c r="E130" s="5">
        <f t="shared" si="44"/>
        <v>0</v>
      </c>
      <c r="F130" s="11">
        <f t="shared" ref="F130" si="45">E130/D130</f>
        <v>0</v>
      </c>
    </row>
    <row r="131" spans="1:6" x14ac:dyDescent="0.25">
      <c r="A131" t="s">
        <v>281</v>
      </c>
      <c r="B131" s="56" t="s">
        <v>629</v>
      </c>
      <c r="C131" s="5">
        <v>0</v>
      </c>
      <c r="D131" s="3">
        <v>2500000</v>
      </c>
      <c r="E131" s="3"/>
      <c r="F131" s="10"/>
    </row>
    <row r="132" spans="1:6" x14ac:dyDescent="0.25">
      <c r="A132" t="s">
        <v>231</v>
      </c>
      <c r="B132" s="56" t="s">
        <v>630</v>
      </c>
      <c r="C132" s="5">
        <f>SUM(C124:C129)</f>
        <v>0</v>
      </c>
      <c r="D132" s="3">
        <v>675000</v>
      </c>
      <c r="E132" s="3"/>
      <c r="F132" s="10"/>
    </row>
    <row r="133" spans="1:6" x14ac:dyDescent="0.25">
      <c r="A133" s="4" t="s">
        <v>232</v>
      </c>
      <c r="B133" s="4" t="s">
        <v>233</v>
      </c>
      <c r="C133" s="5">
        <f>SUM(C131:C132)</f>
        <v>0</v>
      </c>
      <c r="D133" s="5">
        <f t="shared" ref="D133:E133" si="46">SUM(D131:D132)</f>
        <v>3175000</v>
      </c>
      <c r="E133" s="5">
        <f t="shared" si="46"/>
        <v>0</v>
      </c>
      <c r="F133" s="11">
        <f t="shared" ref="F133:F134" si="47">E133/D133</f>
        <v>0</v>
      </c>
    </row>
    <row r="134" spans="1:6" ht="15.75" x14ac:dyDescent="0.25">
      <c r="A134" s="122" t="s">
        <v>480</v>
      </c>
      <c r="B134" s="122"/>
      <c r="C134" s="97">
        <f>SUM(C130+C133)</f>
        <v>0</v>
      </c>
      <c r="D134" s="97">
        <f t="shared" ref="D134:E134" si="48">SUM(D130+D133)</f>
        <v>4048000</v>
      </c>
      <c r="E134" s="97">
        <f t="shared" si="48"/>
        <v>0</v>
      </c>
      <c r="F134" s="87">
        <f t="shared" si="47"/>
        <v>0</v>
      </c>
    </row>
    <row r="135" spans="1:6" x14ac:dyDescent="0.25">
      <c r="C135" s="3"/>
      <c r="D135" s="3"/>
      <c r="E135" s="3"/>
      <c r="F135" s="10"/>
    </row>
    <row r="136" spans="1:6" x14ac:dyDescent="0.25">
      <c r="C136" s="3"/>
      <c r="D136" s="3"/>
      <c r="E136" s="3"/>
      <c r="F136" s="10"/>
    </row>
    <row r="137" spans="1:6" s="8" customFormat="1" ht="15.75" x14ac:dyDescent="0.25">
      <c r="B137" s="8" t="s">
        <v>57</v>
      </c>
      <c r="C137" s="9">
        <f>C103+C82+C73+C63+C39+C23+C134+C124</f>
        <v>826208481</v>
      </c>
      <c r="D137" s="9">
        <f>D103+D82+D73+D63+D39+D23+D134+D124</f>
        <v>895143637</v>
      </c>
      <c r="E137" s="9">
        <f>E103+E82+E73+E63+E39+E23+E134+E124</f>
        <v>37404835</v>
      </c>
      <c r="F137" s="11">
        <f t="shared" si="30"/>
        <v>4.1786405503991757E-2</v>
      </c>
    </row>
    <row r="138" spans="1:6" x14ac:dyDescent="0.25">
      <c r="C138" s="3"/>
      <c r="D138" s="3"/>
      <c r="E138" s="3"/>
    </row>
    <row r="139" spans="1:6" x14ac:dyDescent="0.25">
      <c r="C139" s="3"/>
      <c r="D139" s="3"/>
      <c r="E139" s="3"/>
    </row>
    <row r="140" spans="1:6" x14ac:dyDescent="0.25">
      <c r="C140" s="3"/>
      <c r="D140" s="3"/>
      <c r="E140" s="3"/>
    </row>
    <row r="141" spans="1:6" x14ac:dyDescent="0.25">
      <c r="C141" s="3"/>
      <c r="D141" s="3"/>
      <c r="E141" s="3"/>
    </row>
    <row r="142" spans="1:6" ht="15.75" x14ac:dyDescent="0.25">
      <c r="B142" s="42" t="s">
        <v>58</v>
      </c>
      <c r="C142" s="3"/>
      <c r="D142" s="3"/>
      <c r="E142" s="3"/>
    </row>
    <row r="143" spans="1:6" x14ac:dyDescent="0.25">
      <c r="C143" s="3"/>
      <c r="D143" s="3"/>
      <c r="E143" s="3"/>
    </row>
    <row r="144" spans="1:6" x14ac:dyDescent="0.25">
      <c r="A144" t="s">
        <v>214</v>
      </c>
      <c r="B144" t="s">
        <v>561</v>
      </c>
      <c r="C144" s="3">
        <v>19786871</v>
      </c>
      <c r="D144" s="3">
        <v>19786871</v>
      </c>
      <c r="E144" s="3"/>
      <c r="F144" s="10">
        <f t="shared" ref="F144:F145" si="49">E144/D144</f>
        <v>0</v>
      </c>
    </row>
    <row r="145" spans="1:6" x14ac:dyDescent="0.25">
      <c r="B145" t="s">
        <v>415</v>
      </c>
      <c r="C145" s="3">
        <v>5838727</v>
      </c>
      <c r="D145" s="3">
        <v>5838727</v>
      </c>
      <c r="E145" s="3"/>
      <c r="F145" s="10">
        <f t="shared" si="49"/>
        <v>0</v>
      </c>
    </row>
    <row r="146" spans="1:6" x14ac:dyDescent="0.25">
      <c r="B146" t="s">
        <v>614</v>
      </c>
      <c r="C146" s="3">
        <v>0</v>
      </c>
      <c r="D146" s="3">
        <v>62460091</v>
      </c>
      <c r="E146" s="3"/>
      <c r="F146" s="10"/>
    </row>
    <row r="147" spans="1:6" x14ac:dyDescent="0.25">
      <c r="C147" s="3"/>
      <c r="D147" s="3"/>
      <c r="E147" s="3"/>
      <c r="F147" s="10"/>
    </row>
    <row r="148" spans="1:6" ht="30" x14ac:dyDescent="0.25">
      <c r="A148" t="s">
        <v>253</v>
      </c>
      <c r="B148" s="73" t="s">
        <v>562</v>
      </c>
      <c r="C148" s="3">
        <v>29388467</v>
      </c>
      <c r="D148" s="3">
        <v>29388467</v>
      </c>
      <c r="E148" s="3"/>
      <c r="F148" s="10">
        <f t="shared" ref="F148:F150" si="50">E148/D148</f>
        <v>0</v>
      </c>
    </row>
    <row r="149" spans="1:6" x14ac:dyDescent="0.25">
      <c r="B149" t="s">
        <v>414</v>
      </c>
      <c r="C149" s="3">
        <v>619703897</v>
      </c>
      <c r="D149" s="3">
        <v>619703897</v>
      </c>
      <c r="E149" s="3"/>
      <c r="F149" s="10">
        <f t="shared" si="50"/>
        <v>0</v>
      </c>
    </row>
    <row r="150" spans="1:6" x14ac:dyDescent="0.25">
      <c r="B150" t="s">
        <v>415</v>
      </c>
      <c r="C150" s="3">
        <v>71530801</v>
      </c>
      <c r="D150" s="3">
        <v>71530801</v>
      </c>
      <c r="E150" s="3"/>
      <c r="F150" s="10">
        <f t="shared" si="50"/>
        <v>0</v>
      </c>
    </row>
    <row r="151" spans="1:6" ht="45" x14ac:dyDescent="0.25">
      <c r="B151" s="45" t="s">
        <v>252</v>
      </c>
      <c r="C151" s="3">
        <v>9811673</v>
      </c>
      <c r="D151" s="3">
        <v>9811673</v>
      </c>
      <c r="E151" s="3">
        <v>9809695</v>
      </c>
      <c r="F151" s="10">
        <f t="shared" ref="F151:F154" si="51">E151/D151</f>
        <v>0.99979840339155213</v>
      </c>
    </row>
    <row r="152" spans="1:6" x14ac:dyDescent="0.25">
      <c r="B152" t="s">
        <v>615</v>
      </c>
      <c r="C152" s="3">
        <v>0</v>
      </c>
      <c r="D152" s="3">
        <v>2559909</v>
      </c>
      <c r="E152" s="3"/>
      <c r="F152" s="10">
        <f t="shared" si="51"/>
        <v>0</v>
      </c>
    </row>
    <row r="153" spans="1:6" x14ac:dyDescent="0.25">
      <c r="A153" t="s">
        <v>423</v>
      </c>
      <c r="B153" t="s">
        <v>616</v>
      </c>
      <c r="C153" s="3">
        <v>0</v>
      </c>
      <c r="D153" s="3">
        <v>2013131</v>
      </c>
      <c r="E153" s="3"/>
      <c r="F153" s="10">
        <f t="shared" si="51"/>
        <v>0</v>
      </c>
    </row>
    <row r="154" spans="1:6" x14ac:dyDescent="0.25">
      <c r="A154" t="s">
        <v>214</v>
      </c>
      <c r="B154" t="s">
        <v>617</v>
      </c>
      <c r="C154" s="3">
        <v>0</v>
      </c>
      <c r="D154" s="3">
        <v>1825892</v>
      </c>
      <c r="E154" s="3"/>
      <c r="F154" s="10">
        <f t="shared" si="51"/>
        <v>0</v>
      </c>
    </row>
    <row r="155" spans="1:6" s="8" customFormat="1" ht="15.75" x14ac:dyDescent="0.25">
      <c r="B155" s="8" t="s">
        <v>131</v>
      </c>
      <c r="C155" s="9">
        <f>SUM(C144:C154)</f>
        <v>756060436</v>
      </c>
      <c r="D155" s="9">
        <f>SUM(D144:D154)</f>
        <v>824919459</v>
      </c>
      <c r="E155" s="9">
        <f>SUM(E144:E152)</f>
        <v>9809695</v>
      </c>
      <c r="F155" s="11">
        <f t="shared" ref="F155" si="52">E155/D155</f>
        <v>1.1891700326589096E-2</v>
      </c>
    </row>
    <row r="156" spans="1:6" x14ac:dyDescent="0.25">
      <c r="C156" s="3"/>
      <c r="D156" s="3"/>
      <c r="E156" s="3"/>
    </row>
    <row r="157" spans="1:6" x14ac:dyDescent="0.25">
      <c r="C157" s="3"/>
      <c r="D157" s="3"/>
      <c r="E157" s="3"/>
    </row>
    <row r="158" spans="1:6" x14ac:dyDescent="0.25">
      <c r="C158" s="3"/>
      <c r="D158" s="3"/>
      <c r="E158" s="3"/>
    </row>
    <row r="159" spans="1:6" x14ac:dyDescent="0.25">
      <c r="C159" s="3"/>
      <c r="D159" s="3"/>
      <c r="E159" s="3"/>
    </row>
    <row r="160" spans="1:6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  <row r="466" spans="3:5" x14ac:dyDescent="0.25">
      <c r="C466" s="3"/>
      <c r="D466" s="3"/>
      <c r="E466" s="3"/>
    </row>
    <row r="467" spans="3:5" x14ac:dyDescent="0.25">
      <c r="C467" s="3"/>
      <c r="D467" s="3"/>
      <c r="E467" s="3"/>
    </row>
    <row r="468" spans="3:5" x14ac:dyDescent="0.25">
      <c r="C468" s="3"/>
      <c r="D468" s="3"/>
      <c r="E468" s="3"/>
    </row>
    <row r="469" spans="3:5" x14ac:dyDescent="0.25">
      <c r="C469" s="3"/>
      <c r="D469" s="3"/>
      <c r="E469" s="3"/>
    </row>
    <row r="470" spans="3:5" x14ac:dyDescent="0.25">
      <c r="C470" s="3"/>
      <c r="D470" s="3"/>
      <c r="E470" s="3"/>
    </row>
    <row r="471" spans="3:5" x14ac:dyDescent="0.25">
      <c r="C471" s="3"/>
      <c r="D471" s="3"/>
      <c r="E471" s="3"/>
    </row>
    <row r="472" spans="3:5" x14ac:dyDescent="0.25">
      <c r="C472" s="3"/>
      <c r="D472" s="3"/>
      <c r="E472" s="3"/>
    </row>
    <row r="473" spans="3:5" x14ac:dyDescent="0.25">
      <c r="C473" s="3"/>
      <c r="D473" s="3"/>
      <c r="E473" s="3"/>
    </row>
    <row r="474" spans="3:5" x14ac:dyDescent="0.25">
      <c r="C474" s="3"/>
      <c r="D474" s="3"/>
      <c r="E474" s="3"/>
    </row>
    <row r="475" spans="3:5" x14ac:dyDescent="0.25">
      <c r="C475" s="3"/>
      <c r="D475" s="3"/>
      <c r="E475" s="3"/>
    </row>
    <row r="476" spans="3:5" x14ac:dyDescent="0.25">
      <c r="C476" s="3"/>
      <c r="D476" s="3"/>
      <c r="E476" s="3"/>
    </row>
    <row r="477" spans="3:5" x14ac:dyDescent="0.25">
      <c r="C477" s="3"/>
      <c r="D477" s="3"/>
      <c r="E477" s="3"/>
    </row>
    <row r="478" spans="3:5" x14ac:dyDescent="0.25">
      <c r="C478" s="3"/>
      <c r="D478" s="3"/>
      <c r="E478" s="3"/>
    </row>
    <row r="479" spans="3:5" x14ac:dyDescent="0.25">
      <c r="C479" s="3"/>
      <c r="D479" s="3"/>
      <c r="E479" s="3"/>
    </row>
    <row r="480" spans="3:5" x14ac:dyDescent="0.25">
      <c r="C480" s="3"/>
      <c r="D480" s="3"/>
      <c r="E480" s="3"/>
    </row>
    <row r="481" spans="3:5" x14ac:dyDescent="0.25">
      <c r="C481" s="3"/>
      <c r="D481" s="3"/>
      <c r="E481" s="3"/>
    </row>
    <row r="482" spans="3:5" x14ac:dyDescent="0.25">
      <c r="C482" s="3"/>
      <c r="D482" s="3"/>
      <c r="E482" s="3"/>
    </row>
    <row r="483" spans="3:5" x14ac:dyDescent="0.25">
      <c r="C483" s="3"/>
      <c r="D483" s="3"/>
      <c r="E483" s="3"/>
    </row>
    <row r="484" spans="3:5" x14ac:dyDescent="0.25">
      <c r="C484" s="3"/>
      <c r="D484" s="3"/>
      <c r="E484" s="3"/>
    </row>
    <row r="485" spans="3:5" x14ac:dyDescent="0.25">
      <c r="C485" s="3"/>
      <c r="D485" s="3"/>
      <c r="E485" s="3"/>
    </row>
    <row r="486" spans="3:5" x14ac:dyDescent="0.25">
      <c r="C486" s="3"/>
      <c r="D486" s="3"/>
      <c r="E486" s="3"/>
    </row>
    <row r="487" spans="3:5" x14ac:dyDescent="0.25">
      <c r="C487" s="3"/>
      <c r="D487" s="3"/>
      <c r="E487" s="3"/>
    </row>
    <row r="488" spans="3:5" x14ac:dyDescent="0.25">
      <c r="C488" s="3"/>
      <c r="D488" s="3"/>
      <c r="E488" s="3"/>
    </row>
    <row r="489" spans="3:5" x14ac:dyDescent="0.25">
      <c r="C489" s="3"/>
      <c r="D489" s="3"/>
      <c r="E489" s="3"/>
    </row>
    <row r="490" spans="3:5" x14ac:dyDescent="0.25">
      <c r="C490" s="3"/>
      <c r="D490" s="3"/>
      <c r="E490" s="3"/>
    </row>
    <row r="491" spans="3:5" x14ac:dyDescent="0.25">
      <c r="C491" s="3"/>
      <c r="D491" s="3"/>
      <c r="E491" s="3"/>
    </row>
    <row r="492" spans="3:5" x14ac:dyDescent="0.25">
      <c r="C492" s="3"/>
      <c r="D492" s="3"/>
      <c r="E492" s="3"/>
    </row>
    <row r="493" spans="3:5" x14ac:dyDescent="0.25">
      <c r="C493" s="3"/>
      <c r="D493" s="3"/>
      <c r="E493" s="3"/>
    </row>
    <row r="494" spans="3:5" x14ac:dyDescent="0.25">
      <c r="C494" s="3"/>
      <c r="D494" s="3"/>
      <c r="E494" s="3"/>
    </row>
    <row r="495" spans="3:5" x14ac:dyDescent="0.25">
      <c r="C495" s="3"/>
      <c r="D495" s="3"/>
      <c r="E495" s="3"/>
    </row>
    <row r="496" spans="3:5" x14ac:dyDescent="0.25">
      <c r="C496" s="3"/>
      <c r="D496" s="3"/>
      <c r="E496" s="3"/>
    </row>
    <row r="497" spans="3:5" x14ac:dyDescent="0.25">
      <c r="C497" s="3"/>
      <c r="D497" s="3"/>
      <c r="E497" s="3"/>
    </row>
    <row r="498" spans="3:5" x14ac:dyDescent="0.25">
      <c r="C498" s="3"/>
      <c r="D498" s="3"/>
      <c r="E498" s="3"/>
    </row>
    <row r="499" spans="3:5" x14ac:dyDescent="0.25">
      <c r="C499" s="3"/>
      <c r="D499" s="3"/>
      <c r="E499" s="3"/>
    </row>
    <row r="500" spans="3:5" x14ac:dyDescent="0.25">
      <c r="C500" s="3"/>
      <c r="D500" s="3"/>
      <c r="E500" s="3"/>
    </row>
    <row r="501" spans="3:5" x14ac:dyDescent="0.25">
      <c r="C501" s="3"/>
      <c r="D501" s="3"/>
      <c r="E501" s="3"/>
    </row>
    <row r="502" spans="3:5" x14ac:dyDescent="0.25">
      <c r="C502" s="3"/>
      <c r="D502" s="3"/>
      <c r="E502" s="3"/>
    </row>
    <row r="503" spans="3:5" x14ac:dyDescent="0.25">
      <c r="C503" s="3"/>
      <c r="D503" s="3"/>
      <c r="E503" s="3"/>
    </row>
    <row r="504" spans="3:5" x14ac:dyDescent="0.25">
      <c r="C504" s="3"/>
      <c r="D504" s="3"/>
      <c r="E504" s="3"/>
    </row>
    <row r="505" spans="3:5" x14ac:dyDescent="0.25">
      <c r="C505" s="3"/>
      <c r="D505" s="3"/>
      <c r="E505" s="3"/>
    </row>
    <row r="506" spans="3:5" x14ac:dyDescent="0.25">
      <c r="C506" s="3"/>
      <c r="D506" s="3"/>
      <c r="E506" s="3"/>
    </row>
    <row r="507" spans="3:5" x14ac:dyDescent="0.25">
      <c r="C507" s="3"/>
      <c r="D507" s="3"/>
      <c r="E507" s="3"/>
    </row>
    <row r="508" spans="3:5" x14ac:dyDescent="0.25">
      <c r="C508" s="3"/>
      <c r="D508" s="3"/>
      <c r="E508" s="3"/>
    </row>
    <row r="509" spans="3:5" x14ac:dyDescent="0.25">
      <c r="C509" s="3"/>
      <c r="D509" s="3"/>
      <c r="E509" s="3"/>
    </row>
    <row r="510" spans="3:5" x14ac:dyDescent="0.25">
      <c r="C510" s="3"/>
      <c r="D510" s="3"/>
      <c r="E510" s="3"/>
    </row>
    <row r="511" spans="3:5" x14ac:dyDescent="0.25">
      <c r="C511" s="3"/>
      <c r="D511" s="3"/>
      <c r="E511" s="3"/>
    </row>
    <row r="512" spans="3:5" x14ac:dyDescent="0.25">
      <c r="C512" s="3"/>
      <c r="D512" s="3"/>
      <c r="E512" s="3"/>
    </row>
    <row r="513" spans="3:5" x14ac:dyDescent="0.25">
      <c r="C513" s="3"/>
      <c r="D513" s="3"/>
      <c r="E513" s="3"/>
    </row>
    <row r="514" spans="3:5" x14ac:dyDescent="0.25">
      <c r="C514" s="3"/>
      <c r="D514" s="3"/>
      <c r="E514" s="3"/>
    </row>
    <row r="515" spans="3:5" x14ac:dyDescent="0.25">
      <c r="C515" s="3"/>
      <c r="D515" s="3"/>
      <c r="E515" s="3"/>
    </row>
    <row r="516" spans="3:5" x14ac:dyDescent="0.25">
      <c r="C516" s="3"/>
      <c r="D516" s="3"/>
      <c r="E516" s="3"/>
    </row>
    <row r="517" spans="3:5" x14ac:dyDescent="0.25">
      <c r="C517" s="3"/>
      <c r="D517" s="3"/>
      <c r="E517" s="3"/>
    </row>
    <row r="518" spans="3:5" x14ac:dyDescent="0.25">
      <c r="C518" s="3"/>
      <c r="D518" s="3"/>
      <c r="E518" s="3"/>
    </row>
    <row r="519" spans="3:5" x14ac:dyDescent="0.25">
      <c r="C519" s="3"/>
      <c r="D519" s="3"/>
      <c r="E519" s="3"/>
    </row>
    <row r="520" spans="3:5" x14ac:dyDescent="0.25">
      <c r="C520" s="3"/>
      <c r="D520" s="3"/>
      <c r="E520" s="3"/>
    </row>
    <row r="521" spans="3:5" x14ac:dyDescent="0.25">
      <c r="C521" s="3"/>
      <c r="D521" s="3"/>
      <c r="E521" s="3"/>
    </row>
    <row r="522" spans="3:5" x14ac:dyDescent="0.25">
      <c r="C522" s="3"/>
      <c r="D522" s="3"/>
      <c r="E522" s="3"/>
    </row>
    <row r="523" spans="3:5" x14ac:dyDescent="0.25">
      <c r="C523" s="3"/>
      <c r="D523" s="3"/>
      <c r="E523" s="3"/>
    </row>
    <row r="524" spans="3:5" x14ac:dyDescent="0.25">
      <c r="C524" s="3"/>
      <c r="D524" s="3"/>
      <c r="E524" s="3"/>
    </row>
    <row r="525" spans="3:5" x14ac:dyDescent="0.25">
      <c r="C525" s="3"/>
      <c r="D525" s="3"/>
      <c r="E525" s="3"/>
    </row>
    <row r="526" spans="3:5" x14ac:dyDescent="0.25">
      <c r="C526" s="3"/>
      <c r="D526" s="3"/>
      <c r="E526" s="3"/>
    </row>
    <row r="527" spans="3:5" x14ac:dyDescent="0.25">
      <c r="C527" s="3"/>
      <c r="D527" s="3"/>
      <c r="E527" s="3"/>
    </row>
    <row r="528" spans="3:5" x14ac:dyDescent="0.25">
      <c r="C528" s="3"/>
      <c r="D528" s="3"/>
      <c r="E528" s="3"/>
    </row>
    <row r="529" spans="3:5" x14ac:dyDescent="0.25">
      <c r="C529" s="3"/>
      <c r="D529" s="3"/>
      <c r="E529" s="3"/>
    </row>
    <row r="530" spans="3:5" x14ac:dyDescent="0.25">
      <c r="C530" s="3"/>
      <c r="D530" s="3"/>
      <c r="E530" s="3"/>
    </row>
    <row r="531" spans="3:5" x14ac:dyDescent="0.25">
      <c r="C531" s="3"/>
      <c r="D531" s="3"/>
      <c r="E531" s="3"/>
    </row>
    <row r="532" spans="3:5" x14ac:dyDescent="0.25">
      <c r="C532" s="3"/>
      <c r="D532" s="3"/>
      <c r="E532" s="3"/>
    </row>
    <row r="533" spans="3:5" x14ac:dyDescent="0.25">
      <c r="C533" s="3"/>
      <c r="D533" s="3"/>
      <c r="E533" s="3"/>
    </row>
    <row r="534" spans="3:5" x14ac:dyDescent="0.25">
      <c r="C534" s="3"/>
      <c r="D534" s="3"/>
      <c r="E534" s="3"/>
    </row>
    <row r="535" spans="3:5" x14ac:dyDescent="0.25">
      <c r="C535" s="3"/>
      <c r="D535" s="3"/>
      <c r="E535" s="3"/>
    </row>
    <row r="536" spans="3:5" x14ac:dyDescent="0.25">
      <c r="C536" s="3"/>
      <c r="D536" s="3"/>
      <c r="E536" s="3"/>
    </row>
    <row r="537" spans="3:5" x14ac:dyDescent="0.25">
      <c r="C537" s="3"/>
      <c r="D537" s="3"/>
      <c r="E537" s="3"/>
    </row>
    <row r="538" spans="3:5" x14ac:dyDescent="0.25">
      <c r="C538" s="3"/>
      <c r="D538" s="3"/>
      <c r="E538" s="3"/>
    </row>
    <row r="539" spans="3:5" x14ac:dyDescent="0.25">
      <c r="C539" s="3"/>
      <c r="D539" s="3"/>
      <c r="E539" s="3"/>
    </row>
    <row r="540" spans="3:5" x14ac:dyDescent="0.25">
      <c r="C540" s="3"/>
      <c r="D540" s="3"/>
      <c r="E540" s="3"/>
    </row>
    <row r="541" spans="3:5" x14ac:dyDescent="0.25">
      <c r="C541" s="3"/>
      <c r="D541" s="3"/>
      <c r="E541" s="3"/>
    </row>
    <row r="542" spans="3:5" x14ac:dyDescent="0.25">
      <c r="C542" s="3"/>
      <c r="D542" s="3"/>
      <c r="E542" s="3"/>
    </row>
    <row r="543" spans="3:5" x14ac:dyDescent="0.25">
      <c r="C543" s="3"/>
      <c r="D543" s="3"/>
      <c r="E543" s="3"/>
    </row>
    <row r="544" spans="3:5" x14ac:dyDescent="0.25">
      <c r="C544" s="3"/>
      <c r="D544" s="3"/>
      <c r="E544" s="3"/>
    </row>
    <row r="545" spans="3:5" x14ac:dyDescent="0.25">
      <c r="C545" s="3"/>
      <c r="D545" s="3"/>
      <c r="E545" s="3"/>
    </row>
    <row r="546" spans="3:5" x14ac:dyDescent="0.25">
      <c r="C546" s="3"/>
      <c r="D546" s="3"/>
      <c r="E546" s="3"/>
    </row>
    <row r="547" spans="3:5" x14ac:dyDescent="0.25">
      <c r="C547" s="3"/>
      <c r="D547" s="3"/>
      <c r="E547" s="3"/>
    </row>
    <row r="548" spans="3:5" x14ac:dyDescent="0.25">
      <c r="C548" s="3"/>
      <c r="D548" s="3"/>
      <c r="E548" s="3"/>
    </row>
    <row r="549" spans="3:5" x14ac:dyDescent="0.25">
      <c r="C549" s="3"/>
      <c r="D549" s="3"/>
      <c r="E549" s="3"/>
    </row>
    <row r="550" spans="3:5" x14ac:dyDescent="0.25">
      <c r="C550" s="3"/>
      <c r="D550" s="3"/>
      <c r="E550" s="3"/>
    </row>
    <row r="551" spans="3:5" x14ac:dyDescent="0.25">
      <c r="C551" s="3"/>
      <c r="D551" s="3"/>
      <c r="E551" s="3"/>
    </row>
    <row r="552" spans="3:5" x14ac:dyDescent="0.25">
      <c r="C552" s="3"/>
      <c r="D552" s="3"/>
      <c r="E552" s="3"/>
    </row>
    <row r="553" spans="3:5" x14ac:dyDescent="0.25">
      <c r="C553" s="3"/>
      <c r="D553" s="3"/>
      <c r="E553" s="3"/>
    </row>
    <row r="554" spans="3:5" x14ac:dyDescent="0.25">
      <c r="C554" s="3"/>
      <c r="D554" s="3"/>
      <c r="E554" s="3"/>
    </row>
    <row r="555" spans="3:5" x14ac:dyDescent="0.25">
      <c r="C555" s="3"/>
      <c r="D555" s="3"/>
      <c r="E555" s="3"/>
    </row>
    <row r="556" spans="3:5" x14ac:dyDescent="0.25">
      <c r="C556" s="3"/>
      <c r="D556" s="3"/>
      <c r="E556" s="3"/>
    </row>
    <row r="557" spans="3:5" x14ac:dyDescent="0.25">
      <c r="C557" s="3"/>
      <c r="D557" s="3"/>
      <c r="E557" s="3"/>
    </row>
    <row r="558" spans="3:5" x14ac:dyDescent="0.25">
      <c r="C558" s="3"/>
      <c r="D558" s="3"/>
      <c r="E558" s="3"/>
    </row>
    <row r="559" spans="3:5" x14ac:dyDescent="0.25">
      <c r="C559" s="3"/>
      <c r="D559" s="3"/>
      <c r="E559" s="3"/>
    </row>
    <row r="560" spans="3:5" x14ac:dyDescent="0.25">
      <c r="C560" s="3"/>
      <c r="D560" s="3"/>
      <c r="E560" s="3"/>
    </row>
    <row r="561" spans="3:5" x14ac:dyDescent="0.25">
      <c r="C561" s="3"/>
      <c r="D561" s="3"/>
      <c r="E561" s="3"/>
    </row>
    <row r="562" spans="3:5" x14ac:dyDescent="0.25">
      <c r="C562" s="3"/>
      <c r="D562" s="3"/>
      <c r="E562" s="3"/>
    </row>
    <row r="563" spans="3:5" x14ac:dyDescent="0.25">
      <c r="C563" s="3"/>
      <c r="D563" s="3"/>
      <c r="E563" s="3"/>
    </row>
    <row r="564" spans="3:5" x14ac:dyDescent="0.25">
      <c r="C564" s="3"/>
      <c r="D564" s="3"/>
      <c r="E564" s="3"/>
    </row>
    <row r="565" spans="3:5" x14ac:dyDescent="0.25">
      <c r="C565" s="3"/>
      <c r="D565" s="3"/>
      <c r="E565" s="3"/>
    </row>
    <row r="566" spans="3:5" x14ac:dyDescent="0.25">
      <c r="C566" s="3"/>
      <c r="D566" s="3"/>
      <c r="E566" s="3"/>
    </row>
    <row r="567" spans="3:5" x14ac:dyDescent="0.25">
      <c r="C567" s="3"/>
      <c r="D567" s="3"/>
      <c r="E567" s="3"/>
    </row>
    <row r="568" spans="3:5" x14ac:dyDescent="0.25">
      <c r="C568" s="3"/>
      <c r="D568" s="3"/>
      <c r="E568" s="3"/>
    </row>
    <row r="569" spans="3:5" x14ac:dyDescent="0.25">
      <c r="C569" s="3"/>
      <c r="D569" s="3"/>
      <c r="E569" s="3"/>
    </row>
    <row r="570" spans="3:5" x14ac:dyDescent="0.25">
      <c r="C570" s="3"/>
      <c r="D570" s="3"/>
      <c r="E570" s="3"/>
    </row>
    <row r="571" spans="3:5" x14ac:dyDescent="0.25">
      <c r="C571" s="3"/>
      <c r="D571" s="3"/>
      <c r="E571" s="3"/>
    </row>
    <row r="572" spans="3:5" x14ac:dyDescent="0.25">
      <c r="C572" s="3"/>
      <c r="D572" s="3"/>
      <c r="E572" s="3"/>
    </row>
    <row r="573" spans="3:5" x14ac:dyDescent="0.25">
      <c r="C573" s="3"/>
      <c r="D573" s="3"/>
      <c r="E573" s="3"/>
    </row>
    <row r="574" spans="3:5" x14ac:dyDescent="0.25">
      <c r="C574" s="3"/>
      <c r="D574" s="3"/>
      <c r="E574" s="3"/>
    </row>
    <row r="575" spans="3:5" x14ac:dyDescent="0.25">
      <c r="C575" s="3"/>
      <c r="D575" s="3"/>
      <c r="E575" s="3"/>
    </row>
    <row r="576" spans="3:5" x14ac:dyDescent="0.25">
      <c r="C576" s="3"/>
      <c r="D576" s="3"/>
      <c r="E576" s="3"/>
    </row>
    <row r="577" spans="3:5" x14ac:dyDescent="0.25">
      <c r="C577" s="3"/>
      <c r="D577" s="3"/>
      <c r="E577" s="3"/>
    </row>
    <row r="578" spans="3:5" x14ac:dyDescent="0.25">
      <c r="C578" s="3"/>
      <c r="D578" s="3"/>
      <c r="E578" s="3"/>
    </row>
    <row r="579" spans="3:5" x14ac:dyDescent="0.25">
      <c r="C579" s="3"/>
      <c r="D579" s="3"/>
      <c r="E579" s="3"/>
    </row>
    <row r="580" spans="3:5" x14ac:dyDescent="0.25">
      <c r="C580" s="3"/>
      <c r="D580" s="3"/>
      <c r="E580" s="3"/>
    </row>
    <row r="581" spans="3:5" x14ac:dyDescent="0.25">
      <c r="C581" s="3"/>
      <c r="D581" s="3"/>
      <c r="E581" s="3"/>
    </row>
    <row r="582" spans="3:5" x14ac:dyDescent="0.25">
      <c r="C582" s="3"/>
      <c r="D582" s="3"/>
      <c r="E582" s="3"/>
    </row>
  </sheetData>
  <mergeCells count="18">
    <mergeCell ref="A82:B82"/>
    <mergeCell ref="A127:B127"/>
    <mergeCell ref="A134:B134"/>
    <mergeCell ref="H2:L2"/>
    <mergeCell ref="A23:B23"/>
    <mergeCell ref="A106:B106"/>
    <mergeCell ref="A124:B124"/>
    <mergeCell ref="A26:C26"/>
    <mergeCell ref="A39:B39"/>
    <mergeCell ref="A42:C42"/>
    <mergeCell ref="B2:F2"/>
    <mergeCell ref="A5:C5"/>
    <mergeCell ref="A85:B85"/>
    <mergeCell ref="A103:B103"/>
    <mergeCell ref="A63:B63"/>
    <mergeCell ref="A66:B66"/>
    <mergeCell ref="A73:B73"/>
    <mergeCell ref="A76:B76"/>
  </mergeCells>
  <pageMargins left="0.7" right="0.7" top="0.75" bottom="0.75" header="0.3" footer="0.3"/>
  <pageSetup paperSize="9" scale="47" orientation="landscape" r:id="rId1"/>
  <rowBreaks count="2" manualBreakCount="2">
    <brk id="41" max="16383" man="1"/>
    <brk id="1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498"/>
  <sheetViews>
    <sheetView topLeftCell="A46" zoomScaleNormal="100" workbookViewId="0">
      <selection activeCell="H65" sqref="H65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1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1" s="2" customFormat="1" x14ac:dyDescent="0.25">
      <c r="A2" s="1" t="s">
        <v>0</v>
      </c>
      <c r="B2" s="120" t="s">
        <v>1</v>
      </c>
      <c r="C2" s="120"/>
      <c r="D2" s="120"/>
      <c r="E2" s="120"/>
      <c r="F2" s="120"/>
      <c r="G2" s="6"/>
      <c r="H2" s="6"/>
      <c r="I2" s="6"/>
      <c r="J2" s="6"/>
      <c r="K2" s="6"/>
    </row>
    <row r="3" spans="1:11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</row>
    <row r="4" spans="1:11" x14ac:dyDescent="0.25">
      <c r="A4" t="s">
        <v>2</v>
      </c>
      <c r="B4" t="s">
        <v>425</v>
      </c>
      <c r="C4" s="3">
        <v>20009635</v>
      </c>
      <c r="D4" s="3">
        <v>20009635</v>
      </c>
      <c r="E4" s="99">
        <v>7389611</v>
      </c>
      <c r="F4" s="10">
        <f>E4/D4</f>
        <v>0.3693026384539248</v>
      </c>
    </row>
    <row r="5" spans="1:11" x14ac:dyDescent="0.25">
      <c r="A5" t="s">
        <v>426</v>
      </c>
      <c r="B5" t="s">
        <v>427</v>
      </c>
      <c r="C5" s="3">
        <v>450000</v>
      </c>
      <c r="D5" s="3">
        <v>450000</v>
      </c>
      <c r="E5" s="3">
        <v>0</v>
      </c>
      <c r="F5" s="10"/>
    </row>
    <row r="6" spans="1:11" x14ac:dyDescent="0.25">
      <c r="A6" t="s">
        <v>428</v>
      </c>
      <c r="B6" t="s">
        <v>429</v>
      </c>
      <c r="C6" s="3">
        <v>400000</v>
      </c>
      <c r="D6" s="3">
        <v>400000</v>
      </c>
      <c r="E6" s="3">
        <v>200000</v>
      </c>
      <c r="F6" s="10"/>
    </row>
    <row r="7" spans="1:11" x14ac:dyDescent="0.25">
      <c r="A7" t="s">
        <v>8</v>
      </c>
      <c r="B7" t="s">
        <v>644</v>
      </c>
      <c r="C7" s="3">
        <v>48000</v>
      </c>
      <c r="D7" s="3">
        <v>48000</v>
      </c>
      <c r="E7" s="99">
        <f>13355+48832+832</f>
        <v>63019</v>
      </c>
      <c r="F7" s="10">
        <f t="shared" ref="F7:F59" si="0">E7/D7</f>
        <v>1.3128958333333334</v>
      </c>
    </row>
    <row r="8" spans="1:11" x14ac:dyDescent="0.25">
      <c r="A8" t="s">
        <v>10</v>
      </c>
      <c r="B8" t="s">
        <v>11</v>
      </c>
      <c r="C8" s="3">
        <v>48620915</v>
      </c>
      <c r="D8" s="3">
        <v>48620915</v>
      </c>
      <c r="E8" s="3">
        <v>24387227</v>
      </c>
      <c r="F8" s="10">
        <f t="shared" si="0"/>
        <v>0.50157893984512636</v>
      </c>
    </row>
    <row r="9" spans="1:11" x14ac:dyDescent="0.25">
      <c r="A9" t="s">
        <v>12</v>
      </c>
      <c r="B9" t="s">
        <v>431</v>
      </c>
      <c r="C9" s="3">
        <v>2191935</v>
      </c>
      <c r="D9" s="3">
        <v>2191935</v>
      </c>
      <c r="E9" s="3">
        <v>1021935</v>
      </c>
      <c r="F9" s="10">
        <f t="shared" si="0"/>
        <v>0.46622504773179863</v>
      </c>
    </row>
    <row r="10" spans="1:11" x14ac:dyDescent="0.25">
      <c r="B10" t="s">
        <v>643</v>
      </c>
      <c r="C10" s="3">
        <v>0</v>
      </c>
      <c r="D10" s="3">
        <v>0</v>
      </c>
      <c r="E10" s="3">
        <f>208768-76000</f>
        <v>132768</v>
      </c>
      <c r="F10" s="10"/>
    </row>
    <row r="11" spans="1:11" x14ac:dyDescent="0.25">
      <c r="B11" t="s">
        <v>13</v>
      </c>
      <c r="C11" s="3">
        <v>500000</v>
      </c>
      <c r="D11" s="3">
        <v>500000</v>
      </c>
      <c r="E11" s="3">
        <v>0</v>
      </c>
      <c r="F11" s="10">
        <f t="shared" si="0"/>
        <v>0</v>
      </c>
    </row>
    <row r="12" spans="1:11" x14ac:dyDescent="0.25">
      <c r="B12" t="s">
        <v>14</v>
      </c>
      <c r="C12" s="3">
        <v>500000</v>
      </c>
      <c r="D12" s="3">
        <v>500000</v>
      </c>
      <c r="E12" s="3">
        <f>44614+5187</f>
        <v>49801</v>
      </c>
      <c r="F12" s="10">
        <f t="shared" si="0"/>
        <v>9.9601999999999996E-2</v>
      </c>
    </row>
    <row r="13" spans="1:11" s="4" customFormat="1" x14ac:dyDescent="0.25">
      <c r="A13" s="4" t="s">
        <v>15</v>
      </c>
      <c r="B13" s="4" t="s">
        <v>16</v>
      </c>
      <c r="C13" s="5">
        <f>SUM(C4:C12)</f>
        <v>72720485</v>
      </c>
      <c r="D13" s="5">
        <f>SUM(D4:D12)</f>
        <v>72720485</v>
      </c>
      <c r="E13" s="5">
        <f>SUM(E4:E12)</f>
        <v>33244361</v>
      </c>
      <c r="F13" s="11">
        <f t="shared" si="0"/>
        <v>0.45715263037643383</v>
      </c>
    </row>
    <row r="14" spans="1:11" s="4" customFormat="1" x14ac:dyDescent="0.25">
      <c r="A14" s="4" t="s">
        <v>17</v>
      </c>
      <c r="B14" s="4" t="s">
        <v>18</v>
      </c>
      <c r="C14" s="5">
        <v>9661859</v>
      </c>
      <c r="D14" s="5">
        <v>9661859</v>
      </c>
      <c r="E14" s="5">
        <v>4175768</v>
      </c>
      <c r="F14" s="11">
        <f t="shared" si="0"/>
        <v>0.4321909479324838</v>
      </c>
    </row>
    <row r="15" spans="1:11" x14ac:dyDescent="0.25">
      <c r="A15" t="s">
        <v>20</v>
      </c>
      <c r="B15" t="s">
        <v>405</v>
      </c>
      <c r="C15" s="3">
        <v>1300000</v>
      </c>
      <c r="D15" s="3">
        <v>1300000</v>
      </c>
      <c r="E15" s="3">
        <f>100867+7950+2700</f>
        <v>111517</v>
      </c>
      <c r="F15" s="10">
        <f t="shared" si="0"/>
        <v>8.5782307692307685E-2</v>
      </c>
    </row>
    <row r="16" spans="1:11" x14ac:dyDescent="0.25">
      <c r="B16" t="s">
        <v>435</v>
      </c>
      <c r="C16" s="3">
        <v>450000</v>
      </c>
      <c r="D16" s="3">
        <v>450000</v>
      </c>
      <c r="E16" s="3">
        <f>174039+20831</f>
        <v>194870</v>
      </c>
      <c r="F16" s="10">
        <f t="shared" si="0"/>
        <v>0.43304444444444445</v>
      </c>
    </row>
    <row r="17" spans="1:9" x14ac:dyDescent="0.25">
      <c r="B17" t="s">
        <v>22</v>
      </c>
      <c r="C17" s="3">
        <v>1181102</v>
      </c>
      <c r="D17" s="3">
        <v>1181102</v>
      </c>
      <c r="E17" s="3">
        <f>25673+16539+16503+506482+22680+24334</f>
        <v>612211</v>
      </c>
      <c r="F17" s="10">
        <f t="shared" si="0"/>
        <v>0.51833880562390044</v>
      </c>
    </row>
    <row r="18" spans="1:9" x14ac:dyDescent="0.25">
      <c r="B18" t="s">
        <v>23</v>
      </c>
      <c r="C18" s="3">
        <v>50000</v>
      </c>
      <c r="D18" s="3">
        <v>50000</v>
      </c>
      <c r="E18" s="3">
        <f>3346+45600</f>
        <v>48946</v>
      </c>
      <c r="F18" s="10">
        <f t="shared" si="0"/>
        <v>0.97892000000000001</v>
      </c>
      <c r="I18" s="3"/>
    </row>
    <row r="19" spans="1:9" x14ac:dyDescent="0.25">
      <c r="B19" s="56" t="s">
        <v>645</v>
      </c>
      <c r="C19" s="3">
        <v>0</v>
      </c>
      <c r="D19" s="3">
        <v>0</v>
      </c>
      <c r="E19" s="3">
        <v>5400</v>
      </c>
      <c r="F19" s="10"/>
      <c r="I19" s="3"/>
    </row>
    <row r="20" spans="1:9" x14ac:dyDescent="0.25">
      <c r="B20" t="s">
        <v>24</v>
      </c>
      <c r="C20" s="3">
        <v>98425</v>
      </c>
      <c r="D20" s="3">
        <v>98425</v>
      </c>
      <c r="E20" s="3">
        <f>2543+33268+15615</f>
        <v>51426</v>
      </c>
      <c r="F20" s="10">
        <f t="shared" si="0"/>
        <v>0.52248920497841</v>
      </c>
    </row>
    <row r="21" spans="1:9" x14ac:dyDescent="0.25">
      <c r="A21" t="s">
        <v>25</v>
      </c>
      <c r="B21" t="s">
        <v>26</v>
      </c>
      <c r="C21" s="3">
        <v>1340220</v>
      </c>
      <c r="D21" s="3">
        <v>1340220</v>
      </c>
      <c r="E21" s="3">
        <v>706200</v>
      </c>
      <c r="F21" s="10">
        <f t="shared" si="0"/>
        <v>0.52692841473787888</v>
      </c>
    </row>
    <row r="22" spans="1:9" x14ac:dyDescent="0.25">
      <c r="B22" t="s">
        <v>27</v>
      </c>
      <c r="C22" s="3">
        <v>1004400</v>
      </c>
      <c r="D22" s="3">
        <v>1004400</v>
      </c>
      <c r="E22" s="3">
        <f>331800+167400</f>
        <v>499200</v>
      </c>
      <c r="F22" s="10">
        <f t="shared" si="0"/>
        <v>0.49701314217443249</v>
      </c>
    </row>
    <row r="23" spans="1:9" x14ac:dyDescent="0.25">
      <c r="B23" t="s">
        <v>646</v>
      </c>
      <c r="C23" s="3">
        <v>25000</v>
      </c>
      <c r="D23" s="3">
        <v>25000</v>
      </c>
      <c r="E23" s="3">
        <v>11748</v>
      </c>
      <c r="F23" s="10">
        <f t="shared" si="0"/>
        <v>0.46992</v>
      </c>
    </row>
    <row r="24" spans="1:9" x14ac:dyDescent="0.25">
      <c r="A24" t="s">
        <v>28</v>
      </c>
      <c r="B24" t="s">
        <v>647</v>
      </c>
      <c r="C24" s="3">
        <v>100000</v>
      </c>
      <c r="D24" s="3">
        <v>125000</v>
      </c>
      <c r="E24" s="3">
        <v>46672</v>
      </c>
      <c r="F24" s="10">
        <f t="shared" si="0"/>
        <v>0.37337599999999999</v>
      </c>
    </row>
    <row r="25" spans="1:9" x14ac:dyDescent="0.25">
      <c r="A25" t="s">
        <v>29</v>
      </c>
      <c r="B25" t="s">
        <v>648</v>
      </c>
      <c r="C25" s="3">
        <v>98425</v>
      </c>
      <c r="D25" s="3">
        <v>73425</v>
      </c>
      <c r="E25" s="3">
        <f>24000</f>
        <v>24000</v>
      </c>
      <c r="F25" s="10">
        <f t="shared" si="0"/>
        <v>0.32686414708886619</v>
      </c>
    </row>
    <row r="26" spans="1:9" x14ac:dyDescent="0.25">
      <c r="B26" t="s">
        <v>649</v>
      </c>
      <c r="C26" s="3">
        <v>500000</v>
      </c>
      <c r="D26" s="3">
        <v>500000</v>
      </c>
      <c r="E26" s="3">
        <f>12000+8661+31496</f>
        <v>52157</v>
      </c>
      <c r="F26" s="10">
        <f t="shared" si="0"/>
        <v>0.104314</v>
      </c>
    </row>
    <row r="27" spans="1:9" x14ac:dyDescent="0.25">
      <c r="A27" t="s">
        <v>30</v>
      </c>
      <c r="B27" t="s">
        <v>31</v>
      </c>
      <c r="C27" s="3">
        <v>1219200</v>
      </c>
      <c r="D27" s="3">
        <v>1219200</v>
      </c>
      <c r="E27" s="3">
        <v>903224</v>
      </c>
      <c r="F27" s="10">
        <f t="shared" si="0"/>
        <v>0.74083333333333334</v>
      </c>
    </row>
    <row r="28" spans="1:9" x14ac:dyDescent="0.25">
      <c r="B28" t="s">
        <v>406</v>
      </c>
      <c r="C28" s="3">
        <v>0</v>
      </c>
      <c r="D28" s="3">
        <v>0</v>
      </c>
      <c r="E28" s="3"/>
      <c r="F28" s="10"/>
    </row>
    <row r="29" spans="1:9" x14ac:dyDescent="0.25">
      <c r="B29" t="s">
        <v>32</v>
      </c>
      <c r="C29" s="3">
        <v>582500</v>
      </c>
      <c r="D29" s="3">
        <v>582500</v>
      </c>
      <c r="E29" s="3"/>
      <c r="F29" s="10">
        <f t="shared" si="0"/>
        <v>0</v>
      </c>
    </row>
    <row r="30" spans="1:9" x14ac:dyDescent="0.25">
      <c r="B30" t="s">
        <v>33</v>
      </c>
      <c r="C30" s="3">
        <v>100000</v>
      </c>
      <c r="D30" s="3">
        <v>100000</v>
      </c>
      <c r="E30" s="3">
        <f>3999+6000</f>
        <v>9999</v>
      </c>
      <c r="F30" s="10">
        <f t="shared" si="0"/>
        <v>9.9989999999999996E-2</v>
      </c>
    </row>
    <row r="31" spans="1:9" x14ac:dyDescent="0.25">
      <c r="B31" t="s">
        <v>432</v>
      </c>
      <c r="C31" s="3">
        <v>24000</v>
      </c>
      <c r="D31" s="3">
        <v>24000</v>
      </c>
      <c r="E31" s="3"/>
      <c r="F31" s="10">
        <f t="shared" si="0"/>
        <v>0</v>
      </c>
    </row>
    <row r="32" spans="1:9" x14ac:dyDescent="0.25">
      <c r="B32" t="s">
        <v>35</v>
      </c>
      <c r="C32" s="3">
        <v>130000</v>
      </c>
      <c r="D32" s="3">
        <v>130000</v>
      </c>
      <c r="E32" s="3"/>
      <c r="F32" s="10">
        <f t="shared" si="0"/>
        <v>0</v>
      </c>
    </row>
    <row r="33" spans="1:6" x14ac:dyDescent="0.25">
      <c r="A33" t="s">
        <v>36</v>
      </c>
      <c r="B33" t="s">
        <v>37</v>
      </c>
      <c r="C33" s="3">
        <v>2550000</v>
      </c>
      <c r="D33" s="3">
        <v>2550000</v>
      </c>
      <c r="E33" s="3"/>
      <c r="F33" s="10">
        <f t="shared" si="0"/>
        <v>0</v>
      </c>
    </row>
    <row r="34" spans="1:6" x14ac:dyDescent="0.25">
      <c r="B34" t="s">
        <v>38</v>
      </c>
      <c r="C34" s="3">
        <v>30000</v>
      </c>
      <c r="D34" s="3">
        <v>30000</v>
      </c>
      <c r="E34" s="3"/>
      <c r="F34" s="10">
        <f t="shared" si="0"/>
        <v>0</v>
      </c>
    </row>
    <row r="35" spans="1:6" x14ac:dyDescent="0.25">
      <c r="B35" t="s">
        <v>39</v>
      </c>
      <c r="C35" s="3">
        <v>4650000</v>
      </c>
      <c r="D35" s="3">
        <v>4650000</v>
      </c>
      <c r="E35" s="3">
        <f>2446873+113324+830+830+182+1532498</f>
        <v>4094537</v>
      </c>
      <c r="F35" s="10">
        <f t="shared" si="0"/>
        <v>0.88054559139784949</v>
      </c>
    </row>
    <row r="36" spans="1:6" x14ac:dyDescent="0.25">
      <c r="B36" t="s">
        <v>40</v>
      </c>
      <c r="C36" s="3">
        <v>120000</v>
      </c>
      <c r="D36" s="3">
        <v>120000</v>
      </c>
      <c r="E36" s="3">
        <f>71908</f>
        <v>71908</v>
      </c>
      <c r="F36" s="10">
        <f t="shared" si="0"/>
        <v>0.59923333333333328</v>
      </c>
    </row>
    <row r="37" spans="1:6" x14ac:dyDescent="0.25">
      <c r="B37" t="s">
        <v>41</v>
      </c>
      <c r="C37" s="3">
        <v>100000</v>
      </c>
      <c r="D37" s="3">
        <v>100000</v>
      </c>
      <c r="E37" s="3">
        <f>12000+50+50</f>
        <v>12100</v>
      </c>
      <c r="F37" s="10">
        <f t="shared" si="0"/>
        <v>0.121</v>
      </c>
    </row>
    <row r="38" spans="1:6" x14ac:dyDescent="0.25">
      <c r="A38" t="s">
        <v>42</v>
      </c>
      <c r="B38" t="s">
        <v>43</v>
      </c>
      <c r="C38" s="3">
        <v>50000</v>
      </c>
      <c r="D38" s="3">
        <v>50000</v>
      </c>
      <c r="E38" s="3">
        <v>57154</v>
      </c>
      <c r="F38" s="10">
        <f t="shared" si="0"/>
        <v>1.1430800000000001</v>
      </c>
    </row>
    <row r="39" spans="1:6" x14ac:dyDescent="0.25">
      <c r="A39" t="s">
        <v>44</v>
      </c>
      <c r="B39" t="s">
        <v>45</v>
      </c>
      <c r="C39" s="3">
        <v>2279278</v>
      </c>
      <c r="D39" s="3">
        <v>2279278</v>
      </c>
      <c r="E39" s="3">
        <f>646931-2700-22950</f>
        <v>621281</v>
      </c>
      <c r="F39" s="10">
        <f t="shared" si="0"/>
        <v>0.27257798302795888</v>
      </c>
    </row>
    <row r="40" spans="1:6" x14ac:dyDescent="0.25">
      <c r="A40" t="s">
        <v>46</v>
      </c>
      <c r="B40" t="s">
        <v>47</v>
      </c>
      <c r="C40" s="3">
        <v>8077350</v>
      </c>
      <c r="D40" s="3">
        <v>15624617</v>
      </c>
      <c r="E40" s="3">
        <v>10350000</v>
      </c>
      <c r="F40" s="10">
        <f t="shared" si="0"/>
        <v>0.66241623714680498</v>
      </c>
    </row>
    <row r="41" spans="1:6" x14ac:dyDescent="0.25">
      <c r="A41" t="s">
        <v>48</v>
      </c>
      <c r="B41" t="s">
        <v>49</v>
      </c>
      <c r="C41" s="3">
        <v>90000</v>
      </c>
      <c r="D41" s="3">
        <v>90000</v>
      </c>
      <c r="E41" s="3">
        <f>51835</f>
        <v>51835</v>
      </c>
      <c r="F41" s="10">
        <f t="shared" si="0"/>
        <v>0.57594444444444448</v>
      </c>
    </row>
    <row r="42" spans="1:6" x14ac:dyDescent="0.25">
      <c r="B42" t="s">
        <v>50</v>
      </c>
      <c r="C42" s="3">
        <v>25000</v>
      </c>
      <c r="D42" s="3">
        <v>25000</v>
      </c>
      <c r="E42" s="3"/>
      <c r="F42" s="10">
        <f>E42/D42</f>
        <v>0</v>
      </c>
    </row>
    <row r="43" spans="1:6" x14ac:dyDescent="0.25">
      <c r="B43" t="s">
        <v>433</v>
      </c>
      <c r="C43" s="3">
        <v>288000</v>
      </c>
      <c r="D43" s="3">
        <v>288000</v>
      </c>
      <c r="E43" s="3">
        <f>60000+72000</f>
        <v>132000</v>
      </c>
      <c r="F43" s="10">
        <f t="shared" si="0"/>
        <v>0.45833333333333331</v>
      </c>
    </row>
    <row r="44" spans="1:6" x14ac:dyDescent="0.25">
      <c r="B44" t="s">
        <v>51</v>
      </c>
      <c r="C44" s="3">
        <v>50000</v>
      </c>
      <c r="D44" s="3">
        <v>50000</v>
      </c>
      <c r="E44" s="3"/>
      <c r="F44" s="10">
        <f t="shared" si="0"/>
        <v>0</v>
      </c>
    </row>
    <row r="45" spans="1:6" ht="30" x14ac:dyDescent="0.25">
      <c r="B45" s="43" t="s">
        <v>421</v>
      </c>
      <c r="C45" s="3">
        <v>50000</v>
      </c>
      <c r="D45" s="3">
        <v>50000</v>
      </c>
      <c r="E45" s="3"/>
      <c r="F45" s="10">
        <f t="shared" si="0"/>
        <v>0</v>
      </c>
    </row>
    <row r="46" spans="1:6" x14ac:dyDescent="0.25">
      <c r="B46" s="43" t="s">
        <v>436</v>
      </c>
      <c r="C46" s="3">
        <v>0</v>
      </c>
      <c r="D46" s="3">
        <v>63180</v>
      </c>
      <c r="E46" s="3">
        <v>63180</v>
      </c>
      <c r="F46" s="10">
        <f t="shared" si="0"/>
        <v>1</v>
      </c>
    </row>
    <row r="47" spans="1:6" x14ac:dyDescent="0.25">
      <c r="B47" t="s">
        <v>650</v>
      </c>
      <c r="C47" s="3">
        <v>50000</v>
      </c>
      <c r="D47" s="3">
        <v>50000</v>
      </c>
      <c r="E47" s="3">
        <f>6+3+2244+400+1</f>
        <v>2654</v>
      </c>
      <c r="F47" s="10">
        <f t="shared" si="0"/>
        <v>5.3080000000000002E-2</v>
      </c>
    </row>
    <row r="48" spans="1:6" s="4" customFormat="1" x14ac:dyDescent="0.25">
      <c r="A48" s="4" t="s">
        <v>52</v>
      </c>
      <c r="B48" s="4" t="s">
        <v>53</v>
      </c>
      <c r="C48" s="5">
        <f>SUM(C15:C47)</f>
        <v>26612900</v>
      </c>
      <c r="D48" s="5">
        <f>SUM(D15:D47)</f>
        <v>34223347</v>
      </c>
      <c r="E48" s="5">
        <f>SUM(E15:E47)</f>
        <v>18734219</v>
      </c>
      <c r="F48" s="11">
        <f t="shared" si="0"/>
        <v>0.54741048559628025</v>
      </c>
    </row>
    <row r="49" spans="1:6" x14ac:dyDescent="0.25">
      <c r="A49" t="s">
        <v>206</v>
      </c>
      <c r="B49" t="s">
        <v>54</v>
      </c>
      <c r="C49" s="3">
        <v>12826000</v>
      </c>
      <c r="D49" s="3">
        <f>12826000-6952666</f>
        <v>5873334</v>
      </c>
      <c r="E49" s="3">
        <v>5873334</v>
      </c>
      <c r="F49" s="10">
        <f t="shared" si="0"/>
        <v>1</v>
      </c>
    </row>
    <row r="50" spans="1:6" ht="30" x14ac:dyDescent="0.25">
      <c r="B50" s="43" t="s">
        <v>613</v>
      </c>
      <c r="C50" s="3">
        <v>0</v>
      </c>
      <c r="D50" s="3">
        <f>15929436-2143616</f>
        <v>13785820</v>
      </c>
      <c r="E50" s="3">
        <v>13785820</v>
      </c>
      <c r="F50" s="10">
        <f t="shared" si="0"/>
        <v>1</v>
      </c>
    </row>
    <row r="51" spans="1:6" x14ac:dyDescent="0.25">
      <c r="B51" t="s">
        <v>586</v>
      </c>
      <c r="C51" s="3">
        <v>0</v>
      </c>
      <c r="D51" s="3">
        <v>6606800</v>
      </c>
      <c r="E51" s="3">
        <v>6606800</v>
      </c>
      <c r="F51" s="10">
        <f t="shared" si="0"/>
        <v>1</v>
      </c>
    </row>
    <row r="52" spans="1:6" x14ac:dyDescent="0.25">
      <c r="B52" t="s">
        <v>287</v>
      </c>
      <c r="C52" s="3">
        <v>900000</v>
      </c>
      <c r="D52" s="3">
        <v>2700000</v>
      </c>
      <c r="E52" s="3">
        <f>900000+300000+1500000</f>
        <v>2700000</v>
      </c>
      <c r="F52" s="10">
        <f t="shared" si="0"/>
        <v>1</v>
      </c>
    </row>
    <row r="53" spans="1:6" x14ac:dyDescent="0.25">
      <c r="B53" t="s">
        <v>651</v>
      </c>
      <c r="C53" s="3">
        <v>0</v>
      </c>
      <c r="D53" s="3">
        <v>577500</v>
      </c>
      <c r="E53" s="3">
        <v>0</v>
      </c>
      <c r="F53" s="10"/>
    </row>
    <row r="54" spans="1:6" x14ac:dyDescent="0.25">
      <c r="B54" t="s">
        <v>434</v>
      </c>
      <c r="C54" s="3">
        <v>500000</v>
      </c>
      <c r="D54" s="3">
        <v>500000</v>
      </c>
      <c r="E54" s="3">
        <f>100000+100000+100000</f>
        <v>300000</v>
      </c>
      <c r="F54" s="10">
        <f t="shared" si="0"/>
        <v>0.6</v>
      </c>
    </row>
    <row r="55" spans="1:6" s="4" customFormat="1" x14ac:dyDescent="0.25">
      <c r="A55" s="4" t="s">
        <v>55</v>
      </c>
      <c r="B55" s="4" t="s">
        <v>56</v>
      </c>
      <c r="C55" s="5">
        <f>SUM(C49:C54)</f>
        <v>14226000</v>
      </c>
      <c r="D55" s="5">
        <f>SUM(D49:D54)</f>
        <v>30043454</v>
      </c>
      <c r="E55" s="5">
        <f>SUM(E49:E54)</f>
        <v>29265954</v>
      </c>
      <c r="F55" s="11">
        <f t="shared" si="0"/>
        <v>0.9741208184651472</v>
      </c>
    </row>
    <row r="56" spans="1:6" s="4" customFormat="1" x14ac:dyDescent="0.25">
      <c r="A56" t="s">
        <v>407</v>
      </c>
      <c r="B56"/>
      <c r="C56" s="5">
        <v>0</v>
      </c>
      <c r="D56" s="3">
        <v>0</v>
      </c>
      <c r="E56" s="5"/>
      <c r="F56" s="11"/>
    </row>
    <row r="57" spans="1:6" s="4" customFormat="1" x14ac:dyDescent="0.25">
      <c r="A57" s="4" t="s">
        <v>232</v>
      </c>
      <c r="B57" s="4" t="s">
        <v>233</v>
      </c>
      <c r="C57" s="5">
        <f>SUM(C56)</f>
        <v>0</v>
      </c>
      <c r="D57" s="5">
        <f t="shared" ref="D57:E57" si="1">SUM(D56)</f>
        <v>0</v>
      </c>
      <c r="E57" s="5">
        <f t="shared" si="1"/>
        <v>0</v>
      </c>
      <c r="F57" s="11"/>
    </row>
    <row r="58" spans="1:6" x14ac:dyDescent="0.25">
      <c r="C58" s="3"/>
      <c r="D58" s="3"/>
      <c r="E58" s="3"/>
      <c r="F58" s="10"/>
    </row>
    <row r="59" spans="1:6" s="8" customFormat="1" ht="15.75" x14ac:dyDescent="0.25">
      <c r="B59" s="8" t="s">
        <v>57</v>
      </c>
      <c r="C59" s="9">
        <f>C55+C48+C14+C13+C57</f>
        <v>123221244</v>
      </c>
      <c r="D59" s="9">
        <f>D55+D48+D14+D13+D57</f>
        <v>146649145</v>
      </c>
      <c r="E59" s="9">
        <f>E55+E48+E14+E13+E57</f>
        <v>85420302</v>
      </c>
      <c r="F59" s="11">
        <f t="shared" si="0"/>
        <v>0.58248073659072475</v>
      </c>
    </row>
    <row r="60" spans="1:6" x14ac:dyDescent="0.25">
      <c r="C60" s="3"/>
      <c r="D60" s="3"/>
      <c r="E60" s="3"/>
    </row>
    <row r="61" spans="1:6" x14ac:dyDescent="0.25">
      <c r="C61" s="3"/>
      <c r="D61" s="3"/>
      <c r="E61" s="3"/>
    </row>
    <row r="62" spans="1:6" ht="15.75" x14ac:dyDescent="0.25">
      <c r="B62" s="42" t="s">
        <v>58</v>
      </c>
      <c r="C62" s="3"/>
      <c r="D62" s="3"/>
      <c r="E62" s="3"/>
    </row>
    <row r="63" spans="1:6" x14ac:dyDescent="0.25">
      <c r="C63" s="3"/>
      <c r="D63" s="3"/>
      <c r="E63" s="3"/>
    </row>
    <row r="64" spans="1:6" x14ac:dyDescent="0.25">
      <c r="A64" t="s">
        <v>129</v>
      </c>
      <c r="B64" t="s">
        <v>130</v>
      </c>
      <c r="C64" s="3">
        <v>59884186</v>
      </c>
      <c r="D64" s="3">
        <v>0</v>
      </c>
      <c r="E64" s="3"/>
      <c r="F64" s="10"/>
    </row>
    <row r="65" spans="1:6" x14ac:dyDescent="0.25">
      <c r="A65" t="s">
        <v>390</v>
      </c>
      <c r="B65" t="s">
        <v>391</v>
      </c>
      <c r="C65" s="3">
        <v>0</v>
      </c>
      <c r="D65" s="3">
        <v>0</v>
      </c>
      <c r="E65" s="3"/>
      <c r="F65" s="10"/>
    </row>
    <row r="66" spans="1:6" x14ac:dyDescent="0.25">
      <c r="A66" t="s">
        <v>392</v>
      </c>
      <c r="B66" t="s">
        <v>382</v>
      </c>
      <c r="C66" s="3">
        <v>0</v>
      </c>
      <c r="D66" s="3">
        <v>0</v>
      </c>
      <c r="E66" s="3">
        <f>62+4</f>
        <v>66</v>
      </c>
      <c r="F66" s="10"/>
    </row>
    <row r="67" spans="1:6" x14ac:dyDescent="0.25">
      <c r="A67" t="s">
        <v>393</v>
      </c>
      <c r="B67" t="s">
        <v>394</v>
      </c>
      <c r="C67" s="3">
        <v>0</v>
      </c>
      <c r="D67" s="3">
        <v>0</v>
      </c>
      <c r="E67" s="3"/>
      <c r="F67" s="10"/>
    </row>
    <row r="68" spans="1:6" x14ac:dyDescent="0.25">
      <c r="A68" t="s">
        <v>129</v>
      </c>
      <c r="B68" t="s">
        <v>395</v>
      </c>
      <c r="C68" s="3">
        <v>0</v>
      </c>
      <c r="D68" s="3">
        <v>0</v>
      </c>
      <c r="E68" s="3">
        <f>2+345+1892+1+1680+41730</f>
        <v>45650</v>
      </c>
      <c r="F68" s="10"/>
    </row>
    <row r="69" spans="1:6" ht="30" x14ac:dyDescent="0.25">
      <c r="A69" t="s">
        <v>423</v>
      </c>
      <c r="B69" s="43" t="s">
        <v>424</v>
      </c>
      <c r="C69" s="3">
        <v>9000000</v>
      </c>
      <c r="D69" s="3">
        <v>9000000</v>
      </c>
      <c r="E69" s="3">
        <f>73525+73525+73525+410000+294100+294100+1680000+429000+294100+73525+73525+73525</f>
        <v>3842450</v>
      </c>
      <c r="F69" s="10">
        <f t="shared" ref="F69" si="2">E69/D69</f>
        <v>0.42693888888888887</v>
      </c>
    </row>
    <row r="70" spans="1:6" x14ac:dyDescent="0.25">
      <c r="C70" s="3"/>
      <c r="D70" s="3"/>
      <c r="E70" s="3"/>
    </row>
    <row r="71" spans="1:6" s="8" customFormat="1" ht="15.75" x14ac:dyDescent="0.25">
      <c r="B71" s="8" t="s">
        <v>131</v>
      </c>
      <c r="C71" s="9">
        <f>SUM(C64:C70)</f>
        <v>68884186</v>
      </c>
      <c r="D71" s="9">
        <f t="shared" ref="D71:E71" si="3">SUM(D64:D70)</f>
        <v>9000000</v>
      </c>
      <c r="E71" s="9">
        <f t="shared" si="3"/>
        <v>3888166</v>
      </c>
      <c r="F71" s="11">
        <f t="shared" ref="F71" si="4">E71/D71</f>
        <v>0.43201844444444443</v>
      </c>
    </row>
    <row r="72" spans="1:6" x14ac:dyDescent="0.25">
      <c r="C72" s="3"/>
      <c r="D72" s="3"/>
      <c r="E72" s="3"/>
    </row>
    <row r="73" spans="1:6" x14ac:dyDescent="0.25">
      <c r="C73" s="3"/>
      <c r="D73" s="3"/>
      <c r="E73" s="3"/>
    </row>
    <row r="74" spans="1:6" x14ac:dyDescent="0.25">
      <c r="C74" s="3"/>
      <c r="D74" s="3"/>
      <c r="E74" s="3"/>
    </row>
    <row r="75" spans="1:6" x14ac:dyDescent="0.25">
      <c r="C75" s="3"/>
      <c r="D75" s="3"/>
      <c r="E75" s="3"/>
    </row>
    <row r="76" spans="1:6" x14ac:dyDescent="0.25">
      <c r="C76" s="3"/>
      <c r="D76" s="3"/>
      <c r="E76" s="3"/>
    </row>
    <row r="77" spans="1:6" x14ac:dyDescent="0.25">
      <c r="C77" s="3"/>
      <c r="D77" s="3"/>
      <c r="E77" s="3"/>
    </row>
    <row r="78" spans="1:6" x14ac:dyDescent="0.25">
      <c r="C78" s="3"/>
      <c r="D78" s="3"/>
      <c r="E78" s="3"/>
    </row>
    <row r="79" spans="1:6" x14ac:dyDescent="0.25">
      <c r="C79" s="3"/>
      <c r="D79" s="3"/>
      <c r="E79" s="3"/>
    </row>
    <row r="80" spans="1:6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  <row r="466" spans="3:5" x14ac:dyDescent="0.25">
      <c r="C466" s="3"/>
      <c r="D466" s="3"/>
      <c r="E466" s="3"/>
    </row>
    <row r="467" spans="3:5" x14ac:dyDescent="0.25">
      <c r="C467" s="3"/>
      <c r="D467" s="3"/>
      <c r="E467" s="3"/>
    </row>
    <row r="468" spans="3:5" x14ac:dyDescent="0.25">
      <c r="C468" s="3"/>
      <c r="D468" s="3"/>
      <c r="E468" s="3"/>
    </row>
    <row r="469" spans="3:5" x14ac:dyDescent="0.25">
      <c r="C469" s="3"/>
      <c r="D469" s="3"/>
      <c r="E469" s="3"/>
    </row>
    <row r="470" spans="3:5" x14ac:dyDescent="0.25">
      <c r="C470" s="3"/>
      <c r="D470" s="3"/>
      <c r="E470" s="3"/>
    </row>
    <row r="471" spans="3:5" x14ac:dyDescent="0.25">
      <c r="C471" s="3"/>
      <c r="D471" s="3"/>
      <c r="E471" s="3"/>
    </row>
    <row r="472" spans="3:5" x14ac:dyDescent="0.25">
      <c r="C472" s="3"/>
      <c r="D472" s="3"/>
      <c r="E472" s="3"/>
    </row>
    <row r="473" spans="3:5" x14ac:dyDescent="0.25">
      <c r="C473" s="3"/>
      <c r="D473" s="3"/>
      <c r="E473" s="3"/>
    </row>
    <row r="474" spans="3:5" x14ac:dyDescent="0.25">
      <c r="C474" s="3"/>
      <c r="D474" s="3"/>
      <c r="E474" s="3"/>
    </row>
    <row r="475" spans="3:5" x14ac:dyDescent="0.25">
      <c r="C475" s="3"/>
      <c r="D475" s="3"/>
      <c r="E475" s="3"/>
    </row>
    <row r="476" spans="3:5" x14ac:dyDescent="0.25">
      <c r="C476" s="3"/>
      <c r="D476" s="3"/>
      <c r="E476" s="3"/>
    </row>
    <row r="477" spans="3:5" x14ac:dyDescent="0.25">
      <c r="C477" s="3"/>
      <c r="D477" s="3"/>
      <c r="E477" s="3"/>
    </row>
    <row r="478" spans="3:5" x14ac:dyDescent="0.25">
      <c r="C478" s="3"/>
      <c r="D478" s="3"/>
      <c r="E478" s="3"/>
    </row>
    <row r="479" spans="3:5" x14ac:dyDescent="0.25">
      <c r="C479" s="3"/>
      <c r="D479" s="3"/>
      <c r="E479" s="3"/>
    </row>
    <row r="480" spans="3:5" x14ac:dyDescent="0.25">
      <c r="C480" s="3"/>
      <c r="D480" s="3"/>
      <c r="E480" s="3"/>
    </row>
    <row r="481" spans="3:5" x14ac:dyDescent="0.25">
      <c r="C481" s="3"/>
      <c r="D481" s="3"/>
      <c r="E481" s="3"/>
    </row>
    <row r="482" spans="3:5" x14ac:dyDescent="0.25">
      <c r="C482" s="3"/>
      <c r="D482" s="3"/>
      <c r="E482" s="3"/>
    </row>
    <row r="483" spans="3:5" x14ac:dyDescent="0.25">
      <c r="C483" s="3"/>
      <c r="D483" s="3"/>
      <c r="E483" s="3"/>
    </row>
    <row r="484" spans="3:5" x14ac:dyDescent="0.25">
      <c r="C484" s="3"/>
      <c r="D484" s="3"/>
      <c r="E484" s="3"/>
    </row>
    <row r="485" spans="3:5" x14ac:dyDescent="0.25">
      <c r="C485" s="3"/>
      <c r="D485" s="3"/>
      <c r="E485" s="3"/>
    </row>
    <row r="486" spans="3:5" x14ac:dyDescent="0.25">
      <c r="C486" s="3"/>
      <c r="D486" s="3"/>
      <c r="E486" s="3"/>
    </row>
    <row r="487" spans="3:5" x14ac:dyDescent="0.25">
      <c r="C487" s="3"/>
      <c r="D487" s="3"/>
      <c r="E487" s="3"/>
    </row>
    <row r="488" spans="3:5" x14ac:dyDescent="0.25">
      <c r="C488" s="3"/>
      <c r="D488" s="3"/>
      <c r="E488" s="3"/>
    </row>
    <row r="489" spans="3:5" x14ac:dyDescent="0.25">
      <c r="C489" s="3"/>
      <c r="D489" s="3"/>
      <c r="E489" s="3"/>
    </row>
    <row r="490" spans="3:5" x14ac:dyDescent="0.25">
      <c r="C490" s="3"/>
      <c r="D490" s="3"/>
      <c r="E490" s="3"/>
    </row>
    <row r="491" spans="3:5" x14ac:dyDescent="0.25">
      <c r="C491" s="3"/>
      <c r="D491" s="3"/>
      <c r="E491" s="3"/>
    </row>
    <row r="492" spans="3:5" x14ac:dyDescent="0.25">
      <c r="C492" s="3"/>
      <c r="D492" s="3"/>
      <c r="E492" s="3"/>
    </row>
    <row r="493" spans="3:5" x14ac:dyDescent="0.25">
      <c r="C493" s="3"/>
      <c r="D493" s="3"/>
      <c r="E493" s="3"/>
    </row>
    <row r="494" spans="3:5" x14ac:dyDescent="0.25">
      <c r="C494" s="3"/>
      <c r="D494" s="3"/>
      <c r="E494" s="3"/>
    </row>
    <row r="495" spans="3:5" x14ac:dyDescent="0.25">
      <c r="C495" s="3"/>
      <c r="D495" s="3"/>
      <c r="E495" s="3"/>
    </row>
    <row r="496" spans="3:5" x14ac:dyDescent="0.25">
      <c r="C496" s="3"/>
      <c r="D496" s="3"/>
      <c r="E496" s="3"/>
    </row>
    <row r="497" spans="3:5" x14ac:dyDescent="0.25">
      <c r="C497" s="3"/>
      <c r="D497" s="3"/>
      <c r="E497" s="3"/>
    </row>
    <row r="498" spans="3:5" x14ac:dyDescent="0.25">
      <c r="C498" s="3"/>
      <c r="D498" s="3"/>
      <c r="E498" s="3"/>
    </row>
  </sheetData>
  <mergeCells count="1">
    <mergeCell ref="B2:F2"/>
  </mergeCells>
  <pageMargins left="0.7" right="0.7" top="0.75" bottom="0.75" header="0.3" footer="0.3"/>
  <pageSetup paperSize="9" scale="5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L441"/>
  <sheetViews>
    <sheetView topLeftCell="B1" zoomScaleNormal="100" workbookViewId="0">
      <selection activeCell="E21" sqref="E21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94</v>
      </c>
      <c r="B2" s="120" t="s">
        <v>95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138</v>
      </c>
      <c r="B4" t="s">
        <v>254</v>
      </c>
      <c r="C4" s="3">
        <v>41750000</v>
      </c>
      <c r="D4" s="3">
        <v>41750000</v>
      </c>
      <c r="E4" s="3">
        <f>976150+244+18833959</f>
        <v>19810353</v>
      </c>
      <c r="F4" s="10">
        <f t="shared" ref="F4" si="0">E4/D4</f>
        <v>0.47449947305389223</v>
      </c>
    </row>
    <row r="5" spans="1:12" x14ac:dyDescent="0.25">
      <c r="A5" t="s">
        <v>30</v>
      </c>
      <c r="B5" t="s">
        <v>255</v>
      </c>
      <c r="C5" s="3">
        <v>3100000</v>
      </c>
      <c r="D5" s="3">
        <v>3100000</v>
      </c>
      <c r="E5" s="3">
        <v>0</v>
      </c>
      <c r="F5" s="10">
        <f t="shared" ref="F5:F13" si="1">E5/D5</f>
        <v>0</v>
      </c>
    </row>
    <row r="6" spans="1:12" x14ac:dyDescent="0.25">
      <c r="A6" t="s">
        <v>36</v>
      </c>
      <c r="B6" t="s">
        <v>256</v>
      </c>
      <c r="C6" s="3">
        <v>7513524</v>
      </c>
      <c r="D6" s="3">
        <v>7513524</v>
      </c>
      <c r="E6" s="3">
        <f>1878381+1717694</f>
        <v>3596075</v>
      </c>
      <c r="F6" s="10">
        <f t="shared" si="1"/>
        <v>0.47861363056802642</v>
      </c>
    </row>
    <row r="7" spans="1:12" x14ac:dyDescent="0.25">
      <c r="A7" t="s">
        <v>44</v>
      </c>
      <c r="B7" t="s">
        <v>45</v>
      </c>
      <c r="C7" s="3">
        <v>14138151</v>
      </c>
      <c r="D7" s="3">
        <v>14138151</v>
      </c>
      <c r="E7" s="3">
        <v>6056100</v>
      </c>
      <c r="F7" s="10">
        <f t="shared" si="1"/>
        <v>0.42835162815844874</v>
      </c>
    </row>
    <row r="8" spans="1:12" s="4" customFormat="1" x14ac:dyDescent="0.25">
      <c r="A8" s="4" t="s">
        <v>52</v>
      </c>
      <c r="B8" s="4" t="s">
        <v>53</v>
      </c>
      <c r="C8" s="5">
        <f>SUM(C4:C7)</f>
        <v>66501675</v>
      </c>
      <c r="D8" s="5">
        <f>SUM(D4:D7)</f>
        <v>66501675</v>
      </c>
      <c r="E8" s="5">
        <f>SUM(E4:E7)</f>
        <v>29462528</v>
      </c>
      <c r="F8" s="11">
        <f t="shared" si="1"/>
        <v>0.44303437469808093</v>
      </c>
    </row>
    <row r="9" spans="1:12" ht="30" x14ac:dyDescent="0.25">
      <c r="A9" t="s">
        <v>153</v>
      </c>
      <c r="B9" s="47" t="s">
        <v>516</v>
      </c>
      <c r="C9" s="3">
        <v>1350000</v>
      </c>
      <c r="D9" s="3">
        <v>1350000</v>
      </c>
      <c r="E9" s="3">
        <v>0</v>
      </c>
      <c r="F9" s="10">
        <f t="shared" si="1"/>
        <v>0</v>
      </c>
    </row>
    <row r="10" spans="1:12" ht="30" x14ac:dyDescent="0.25">
      <c r="A10" t="s">
        <v>154</v>
      </c>
      <c r="B10" s="47" t="s">
        <v>257</v>
      </c>
      <c r="C10" s="3">
        <v>364500</v>
      </c>
      <c r="D10" s="3">
        <v>364500</v>
      </c>
      <c r="E10" s="3">
        <v>0</v>
      </c>
      <c r="F10" s="10">
        <f t="shared" si="1"/>
        <v>0</v>
      </c>
    </row>
    <row r="11" spans="1:12" s="4" customFormat="1" x14ac:dyDescent="0.25">
      <c r="A11" s="4" t="s">
        <v>155</v>
      </c>
      <c r="B11" s="4" t="s">
        <v>224</v>
      </c>
      <c r="C11" s="5">
        <f>SUM(C9:C10)</f>
        <v>1714500</v>
      </c>
      <c r="D11" s="5">
        <f>SUM(D9:D10)</f>
        <v>1714500</v>
      </c>
      <c r="E11" s="5">
        <f>SUM(E9:E10)</f>
        <v>0</v>
      </c>
      <c r="F11" s="11">
        <f t="shared" si="1"/>
        <v>0</v>
      </c>
    </row>
    <row r="12" spans="1:12" x14ac:dyDescent="0.25">
      <c r="C12" s="3"/>
      <c r="D12" s="3"/>
      <c r="E12" s="3"/>
      <c r="F12" s="10"/>
    </row>
    <row r="13" spans="1:12" s="8" customFormat="1" ht="15.75" x14ac:dyDescent="0.25">
      <c r="B13" s="8" t="s">
        <v>57</v>
      </c>
      <c r="C13" s="9">
        <f>C11+C8</f>
        <v>68216175</v>
      </c>
      <c r="D13" s="9">
        <f t="shared" ref="D13:E13" si="2">D11+D8</f>
        <v>68216175</v>
      </c>
      <c r="E13" s="9">
        <f t="shared" si="2"/>
        <v>29462528</v>
      </c>
      <c r="F13" s="11">
        <f t="shared" si="1"/>
        <v>0.43189944320390289</v>
      </c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L443"/>
  <sheetViews>
    <sheetView zoomScaleNormal="100" workbookViewId="0">
      <selection activeCell="E15" sqref="E15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96</v>
      </c>
      <c r="B2" s="120" t="s">
        <v>97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36</v>
      </c>
      <c r="B4" t="s">
        <v>258</v>
      </c>
      <c r="C4" s="3">
        <v>196850</v>
      </c>
      <c r="D4" s="3">
        <v>196850</v>
      </c>
      <c r="E4" s="3"/>
      <c r="F4" s="10">
        <f t="shared" ref="F4:F15" si="0">E4/D4</f>
        <v>0</v>
      </c>
    </row>
    <row r="5" spans="1:12" x14ac:dyDescent="0.25">
      <c r="B5" t="s">
        <v>706</v>
      </c>
      <c r="C5" s="3"/>
      <c r="D5" s="3"/>
      <c r="E5" s="3">
        <v>72940</v>
      </c>
      <c r="F5" s="10"/>
    </row>
    <row r="6" spans="1:12" x14ac:dyDescent="0.25">
      <c r="A6" t="s">
        <v>44</v>
      </c>
      <c r="B6" t="s">
        <v>45</v>
      </c>
      <c r="C6" s="3">
        <v>53150</v>
      </c>
      <c r="D6" s="3">
        <v>53150</v>
      </c>
      <c r="E6" s="3">
        <f>19694</f>
        <v>19694</v>
      </c>
      <c r="F6" s="10">
        <f t="shared" si="0"/>
        <v>0.37053621825023519</v>
      </c>
    </row>
    <row r="7" spans="1:12" s="4" customFormat="1" x14ac:dyDescent="0.25">
      <c r="A7" s="4" t="s">
        <v>52</v>
      </c>
      <c r="B7" s="4" t="s">
        <v>53</v>
      </c>
      <c r="C7" s="5">
        <f>SUM(C4:C6)</f>
        <v>250000</v>
      </c>
      <c r="D7" s="5">
        <f>SUM(D4:D6)</f>
        <v>250000</v>
      </c>
      <c r="E7" s="5">
        <f>SUM(E4:E6)</f>
        <v>92634</v>
      </c>
      <c r="F7" s="11">
        <f t="shared" si="0"/>
        <v>0.37053599999999998</v>
      </c>
    </row>
    <row r="8" spans="1:12" x14ac:dyDescent="0.25">
      <c r="A8" t="s">
        <v>206</v>
      </c>
      <c r="B8" t="s">
        <v>259</v>
      </c>
      <c r="C8" s="3">
        <v>44374000</v>
      </c>
      <c r="D8" s="3">
        <f>44374000-33753834</f>
        <v>10620166</v>
      </c>
      <c r="E8" s="3">
        <f>44374000-33753834</f>
        <v>10620166</v>
      </c>
      <c r="F8" s="10">
        <f t="shared" si="0"/>
        <v>1</v>
      </c>
    </row>
    <row r="9" spans="1:12" x14ac:dyDescent="0.25">
      <c r="B9" t="s">
        <v>260</v>
      </c>
      <c r="C9" s="3">
        <v>8738000</v>
      </c>
      <c r="D9" s="3">
        <f>8738000-7328334</f>
        <v>1409666</v>
      </c>
      <c r="E9" s="3">
        <f>8738000-7328334</f>
        <v>1409666</v>
      </c>
      <c r="F9" s="10">
        <f t="shared" si="0"/>
        <v>1</v>
      </c>
    </row>
    <row r="10" spans="1:12" s="4" customFormat="1" x14ac:dyDescent="0.25">
      <c r="A10" s="4" t="s">
        <v>55</v>
      </c>
      <c r="B10" s="4" t="s">
        <v>56</v>
      </c>
      <c r="C10" s="5">
        <f>SUM(C8:C9)</f>
        <v>53112000</v>
      </c>
      <c r="D10" s="5">
        <f>SUM(D8:D9)</f>
        <v>12029832</v>
      </c>
      <c r="E10" s="5">
        <f>SUM(E8:E9)</f>
        <v>12029832</v>
      </c>
      <c r="F10" s="11">
        <f t="shared" si="0"/>
        <v>1</v>
      </c>
    </row>
    <row r="11" spans="1:12" s="4" customFormat="1" x14ac:dyDescent="0.25">
      <c r="C11" s="5"/>
      <c r="D11" s="5"/>
      <c r="E11" s="5"/>
      <c r="F11" s="11"/>
    </row>
    <row r="12" spans="1:12" x14ac:dyDescent="0.25">
      <c r="A12" t="s">
        <v>157</v>
      </c>
      <c r="C12" s="3"/>
      <c r="D12" s="3"/>
      <c r="E12" s="3"/>
      <c r="F12" s="10"/>
    </row>
    <row r="13" spans="1:12" s="4" customFormat="1" x14ac:dyDescent="0.25">
      <c r="A13" s="4" t="s">
        <v>159</v>
      </c>
      <c r="B13" s="4" t="s">
        <v>160</v>
      </c>
      <c r="C13" s="5">
        <f>SUM(C12)</f>
        <v>0</v>
      </c>
      <c r="D13" s="5">
        <f>SUM(D12)</f>
        <v>0</v>
      </c>
      <c r="E13" s="5">
        <f>SUM(E12)</f>
        <v>0</v>
      </c>
      <c r="F13" s="11"/>
    </row>
    <row r="14" spans="1:12" x14ac:dyDescent="0.25">
      <c r="C14" s="3"/>
      <c r="D14" s="3"/>
      <c r="E14" s="3"/>
      <c r="F14" s="10"/>
    </row>
    <row r="15" spans="1:12" s="8" customFormat="1" ht="15.75" x14ac:dyDescent="0.25">
      <c r="B15" s="8" t="s">
        <v>57</v>
      </c>
      <c r="C15" s="9">
        <f>C10+C7+C13</f>
        <v>53362000</v>
      </c>
      <c r="D15" s="9">
        <f t="shared" ref="D15:E15" si="1">D10+D7+D13</f>
        <v>12279832</v>
      </c>
      <c r="E15" s="9">
        <f t="shared" si="1"/>
        <v>12122466</v>
      </c>
      <c r="F15" s="11">
        <f t="shared" si="0"/>
        <v>0.98718500383392871</v>
      </c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L530"/>
  <sheetViews>
    <sheetView topLeftCell="A58" zoomScaleNormal="100" workbookViewId="0">
      <selection activeCell="V66" sqref="V66"/>
    </sheetView>
  </sheetViews>
  <sheetFormatPr defaultRowHeight="15" x14ac:dyDescent="0.25"/>
  <cols>
    <col min="2" max="2" width="48" customWidth="1"/>
    <col min="3" max="3" width="12" bestFit="1" customWidth="1"/>
    <col min="4" max="4" width="20.1406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98</v>
      </c>
      <c r="B2" s="120" t="s">
        <v>261</v>
      </c>
      <c r="C2" s="120"/>
      <c r="D2" s="120"/>
      <c r="E2" s="120"/>
      <c r="F2" s="120"/>
      <c r="G2" s="92"/>
      <c r="H2" s="125" t="s">
        <v>571</v>
      </c>
      <c r="I2" s="125"/>
      <c r="J2" s="125"/>
      <c r="K2" s="125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</v>
      </c>
      <c r="B4" s="89" t="s">
        <v>570</v>
      </c>
      <c r="C4" s="90">
        <v>0</v>
      </c>
      <c r="D4" s="90">
        <v>28452400</v>
      </c>
      <c r="E4" s="90">
        <v>8836131</v>
      </c>
      <c r="F4" s="91">
        <f t="shared" ref="F4:F8" si="0">E4/D4</f>
        <v>0.31055837117431218</v>
      </c>
    </row>
    <row r="5" spans="1:12" x14ac:dyDescent="0.25">
      <c r="A5" t="s">
        <v>8</v>
      </c>
      <c r="B5" s="89" t="s">
        <v>381</v>
      </c>
      <c r="C5" s="90"/>
      <c r="D5" s="90">
        <v>197800</v>
      </c>
      <c r="E5" s="90">
        <v>197800</v>
      </c>
      <c r="F5" s="91">
        <f t="shared" si="0"/>
        <v>1</v>
      </c>
    </row>
    <row r="6" spans="1:12" x14ac:dyDescent="0.25">
      <c r="B6" t="s">
        <v>543</v>
      </c>
      <c r="C6" s="90"/>
      <c r="D6" s="90">
        <v>64000</v>
      </c>
      <c r="E6" s="90">
        <v>24000</v>
      </c>
      <c r="F6" s="91">
        <f t="shared" si="0"/>
        <v>0.375</v>
      </c>
    </row>
    <row r="7" spans="1:12" s="4" customFormat="1" x14ac:dyDescent="0.25">
      <c r="A7" s="4" t="s">
        <v>15</v>
      </c>
      <c r="B7" s="93" t="s">
        <v>16</v>
      </c>
      <c r="C7" s="94">
        <f>SUM(C4:C6)</f>
        <v>0</v>
      </c>
      <c r="D7" s="94">
        <f>SUM(D4:D6)</f>
        <v>28714200</v>
      </c>
      <c r="E7" s="94">
        <f>SUM(E4:E6)</f>
        <v>9057931</v>
      </c>
      <c r="F7" s="95">
        <f t="shared" si="0"/>
        <v>0.31545127497893027</v>
      </c>
    </row>
    <row r="8" spans="1:12" s="4" customFormat="1" x14ac:dyDescent="0.25">
      <c r="A8" s="4" t="s">
        <v>17</v>
      </c>
      <c r="B8" s="93" t="s">
        <v>18</v>
      </c>
      <c r="C8" s="94">
        <v>0</v>
      </c>
      <c r="D8" s="94">
        <v>3732846</v>
      </c>
      <c r="E8" s="94">
        <v>1175412</v>
      </c>
      <c r="F8" s="95">
        <f t="shared" si="0"/>
        <v>0.31488360355610706</v>
      </c>
    </row>
    <row r="9" spans="1:12" x14ac:dyDescent="0.25">
      <c r="A9" t="s">
        <v>20</v>
      </c>
      <c r="B9" s="48" t="s">
        <v>262</v>
      </c>
      <c r="C9" s="3">
        <v>100000</v>
      </c>
      <c r="D9" s="3">
        <v>100000</v>
      </c>
      <c r="E9" s="3"/>
      <c r="F9" s="10">
        <f t="shared" ref="F9:F88" si="1">E9/D9</f>
        <v>0</v>
      </c>
    </row>
    <row r="10" spans="1:12" x14ac:dyDescent="0.25">
      <c r="B10" s="48" t="s">
        <v>696</v>
      </c>
      <c r="C10" s="3">
        <v>0</v>
      </c>
      <c r="D10" s="3">
        <v>0</v>
      </c>
      <c r="E10" s="3">
        <v>189808</v>
      </c>
      <c r="F10" s="10"/>
    </row>
    <row r="11" spans="1:12" x14ac:dyDescent="0.25">
      <c r="B11" s="96" t="s">
        <v>574</v>
      </c>
      <c r="C11" s="90">
        <v>0</v>
      </c>
      <c r="D11" s="90">
        <v>4330709</v>
      </c>
      <c r="E11" s="90">
        <v>1011477</v>
      </c>
      <c r="F11" s="91">
        <f t="shared" si="1"/>
        <v>0.23355921628537035</v>
      </c>
    </row>
    <row r="12" spans="1:12" ht="18.75" customHeight="1" x14ac:dyDescent="0.25">
      <c r="B12" s="96" t="s">
        <v>575</v>
      </c>
      <c r="C12" s="90">
        <v>0</v>
      </c>
      <c r="D12" s="90">
        <v>4881890</v>
      </c>
      <c r="E12" s="90">
        <f>1202902+140667</f>
        <v>1343569</v>
      </c>
      <c r="F12" s="91">
        <f t="shared" si="1"/>
        <v>0.27521492700572936</v>
      </c>
    </row>
    <row r="13" spans="1:12" x14ac:dyDescent="0.25">
      <c r="B13" s="96" t="s">
        <v>576</v>
      </c>
      <c r="C13" s="90">
        <v>0</v>
      </c>
      <c r="D13" s="90">
        <v>5118110</v>
      </c>
      <c r="E13" s="90">
        <v>388776</v>
      </c>
      <c r="F13" s="91">
        <f t="shared" si="1"/>
        <v>7.5960852736654746E-2</v>
      </c>
    </row>
    <row r="14" spans="1:12" x14ac:dyDescent="0.25">
      <c r="B14" s="96" t="s">
        <v>582</v>
      </c>
      <c r="C14" s="90">
        <v>0</v>
      </c>
      <c r="D14" s="90">
        <v>354331</v>
      </c>
      <c r="E14" s="90"/>
      <c r="F14" s="91">
        <f t="shared" si="1"/>
        <v>0</v>
      </c>
    </row>
    <row r="15" spans="1:12" ht="18" customHeight="1" x14ac:dyDescent="0.25">
      <c r="B15" s="96" t="s">
        <v>583</v>
      </c>
      <c r="C15" s="90">
        <v>0</v>
      </c>
      <c r="D15" s="90">
        <v>157480</v>
      </c>
      <c r="E15" s="90"/>
      <c r="F15" s="91">
        <f t="shared" si="1"/>
        <v>0</v>
      </c>
    </row>
    <row r="16" spans="1:12" ht="30" x14ac:dyDescent="0.25">
      <c r="A16" t="s">
        <v>25</v>
      </c>
      <c r="B16" s="48" t="s">
        <v>517</v>
      </c>
      <c r="C16" s="3">
        <v>1030000</v>
      </c>
      <c r="D16" s="3">
        <v>1030000</v>
      </c>
      <c r="E16" s="3">
        <f>85000+255000+85000+85000</f>
        <v>510000</v>
      </c>
      <c r="F16" s="10">
        <f t="shared" si="1"/>
        <v>0.49514563106796117</v>
      </c>
    </row>
    <row r="17" spans="1:6" ht="25.5" x14ac:dyDescent="0.25">
      <c r="B17" s="49" t="s">
        <v>519</v>
      </c>
      <c r="C17" s="3">
        <v>12000</v>
      </c>
      <c r="D17" s="3">
        <v>12000</v>
      </c>
      <c r="E17" s="3"/>
      <c r="F17" s="10">
        <f t="shared" si="1"/>
        <v>0</v>
      </c>
    </row>
    <row r="18" spans="1:6" x14ac:dyDescent="0.25">
      <c r="B18" s="49" t="s">
        <v>518</v>
      </c>
      <c r="C18" s="3">
        <v>100000</v>
      </c>
      <c r="D18" s="3">
        <v>100000</v>
      </c>
      <c r="E18" s="3">
        <v>47940</v>
      </c>
      <c r="F18" s="10">
        <f t="shared" si="1"/>
        <v>0.47939999999999999</v>
      </c>
    </row>
    <row r="19" spans="1:6" x14ac:dyDescent="0.25">
      <c r="B19" s="49" t="s">
        <v>520</v>
      </c>
      <c r="C19" s="3">
        <v>283200</v>
      </c>
      <c r="D19" s="3">
        <v>283200</v>
      </c>
      <c r="E19" s="3">
        <f>1966+173541</f>
        <v>175507</v>
      </c>
      <c r="F19" s="10">
        <f t="shared" si="1"/>
        <v>0.61972810734463279</v>
      </c>
    </row>
    <row r="20" spans="1:6" ht="30" x14ac:dyDescent="0.25">
      <c r="B20" s="48" t="s">
        <v>521</v>
      </c>
      <c r="C20" s="3">
        <v>45600</v>
      </c>
      <c r="D20" s="3">
        <v>45600</v>
      </c>
      <c r="E20" s="3">
        <f>10200+10200</f>
        <v>20400</v>
      </c>
      <c r="F20" s="10">
        <f t="shared" si="1"/>
        <v>0.44736842105263158</v>
      </c>
    </row>
    <row r="21" spans="1:6" ht="30" x14ac:dyDescent="0.25">
      <c r="B21" s="96" t="s">
        <v>704</v>
      </c>
      <c r="C21" s="90">
        <v>0</v>
      </c>
      <c r="D21" s="90">
        <v>0</v>
      </c>
      <c r="E21" s="90">
        <v>13800</v>
      </c>
      <c r="F21" s="91"/>
    </row>
    <row r="22" spans="1:6" ht="30" x14ac:dyDescent="0.25">
      <c r="A22" t="s">
        <v>138</v>
      </c>
      <c r="B22" s="46" t="s">
        <v>264</v>
      </c>
      <c r="C22" s="3">
        <v>50000</v>
      </c>
      <c r="D22" s="3">
        <v>50000</v>
      </c>
      <c r="E22" s="3">
        <v>12571</v>
      </c>
      <c r="F22" s="10">
        <f t="shared" si="1"/>
        <v>0.25141999999999998</v>
      </c>
    </row>
    <row r="23" spans="1:6" x14ac:dyDescent="0.25">
      <c r="B23" s="46" t="s">
        <v>265</v>
      </c>
      <c r="C23" s="3">
        <v>700000</v>
      </c>
      <c r="D23" s="3">
        <v>700000</v>
      </c>
      <c r="E23" s="3">
        <v>206319</v>
      </c>
      <c r="F23" s="10">
        <f t="shared" si="1"/>
        <v>0.2947414285714286</v>
      </c>
    </row>
    <row r="24" spans="1:6" x14ac:dyDescent="0.25">
      <c r="B24" s="46" t="s">
        <v>699</v>
      </c>
      <c r="C24" s="3">
        <v>5000</v>
      </c>
      <c r="D24" s="3">
        <v>5000</v>
      </c>
      <c r="E24" s="3">
        <v>363</v>
      </c>
      <c r="F24" s="10">
        <f t="shared" si="1"/>
        <v>7.2599999999999998E-2</v>
      </c>
    </row>
    <row r="25" spans="1:6" ht="30" x14ac:dyDescent="0.25">
      <c r="B25" s="46" t="s">
        <v>700</v>
      </c>
      <c r="C25" s="3">
        <v>200000</v>
      </c>
      <c r="D25" s="3">
        <v>200000</v>
      </c>
      <c r="E25" s="3">
        <v>253124</v>
      </c>
      <c r="F25" s="10">
        <f t="shared" si="1"/>
        <v>1.26562</v>
      </c>
    </row>
    <row r="26" spans="1:6" x14ac:dyDescent="0.25">
      <c r="B26" s="96" t="s">
        <v>577</v>
      </c>
      <c r="C26" s="90">
        <v>0</v>
      </c>
      <c r="D26" s="90">
        <v>614173</v>
      </c>
      <c r="E26" s="90"/>
      <c r="F26" s="91">
        <f t="shared" si="1"/>
        <v>0</v>
      </c>
    </row>
    <row r="27" spans="1:6" x14ac:dyDescent="0.25">
      <c r="A27" t="s">
        <v>140</v>
      </c>
      <c r="B27" s="46" t="s">
        <v>263</v>
      </c>
      <c r="C27" s="3">
        <v>600000</v>
      </c>
      <c r="D27" s="3">
        <v>600000</v>
      </c>
      <c r="E27" s="3">
        <v>559683</v>
      </c>
      <c r="F27" s="10">
        <f t="shared" si="1"/>
        <v>0.932805</v>
      </c>
    </row>
    <row r="28" spans="1:6" x14ac:dyDescent="0.25">
      <c r="B28" s="96" t="s">
        <v>578</v>
      </c>
      <c r="C28" s="90">
        <v>0</v>
      </c>
      <c r="D28" s="90">
        <v>472441</v>
      </c>
      <c r="E28" s="90"/>
      <c r="F28" s="91">
        <f t="shared" si="1"/>
        <v>0</v>
      </c>
    </row>
    <row r="29" spans="1:6" x14ac:dyDescent="0.25">
      <c r="A29" t="s">
        <v>142</v>
      </c>
      <c r="B29" s="46" t="s">
        <v>266</v>
      </c>
      <c r="C29" s="3">
        <v>1100000</v>
      </c>
      <c r="D29" s="3">
        <v>1100000</v>
      </c>
      <c r="E29" s="3">
        <v>640640</v>
      </c>
      <c r="F29" s="10">
        <f t="shared" si="1"/>
        <v>0.58240000000000003</v>
      </c>
    </row>
    <row r="30" spans="1:6" x14ac:dyDescent="0.25">
      <c r="B30" s="96" t="s">
        <v>579</v>
      </c>
      <c r="C30" s="90">
        <v>0</v>
      </c>
      <c r="D30" s="90">
        <v>94488</v>
      </c>
      <c r="E30" s="90"/>
      <c r="F30" s="91">
        <f t="shared" si="1"/>
        <v>0</v>
      </c>
    </row>
    <row r="31" spans="1:6" x14ac:dyDescent="0.25">
      <c r="A31" t="s">
        <v>267</v>
      </c>
      <c r="B31" s="46" t="s">
        <v>568</v>
      </c>
      <c r="C31" s="3">
        <v>0</v>
      </c>
      <c r="D31" s="3">
        <v>166800</v>
      </c>
      <c r="E31" s="3">
        <v>166800</v>
      </c>
      <c r="F31" s="10">
        <f t="shared" si="1"/>
        <v>1</v>
      </c>
    </row>
    <row r="32" spans="1:6" x14ac:dyDescent="0.25">
      <c r="A32" t="s">
        <v>29</v>
      </c>
      <c r="B32" s="50" t="s">
        <v>522</v>
      </c>
      <c r="C32" s="3">
        <v>462500</v>
      </c>
      <c r="D32" s="3">
        <v>462500</v>
      </c>
      <c r="E32" s="3"/>
      <c r="F32" s="10">
        <f t="shared" si="1"/>
        <v>0</v>
      </c>
    </row>
    <row r="33" spans="1:6" x14ac:dyDescent="0.25">
      <c r="B33" s="56" t="s">
        <v>701</v>
      </c>
      <c r="C33" s="3">
        <v>0</v>
      </c>
      <c r="D33" s="3">
        <v>0</v>
      </c>
      <c r="E33" s="3">
        <v>355000</v>
      </c>
      <c r="F33" s="10" t="e">
        <f t="shared" si="1"/>
        <v>#DIV/0!</v>
      </c>
    </row>
    <row r="34" spans="1:6" ht="24" x14ac:dyDescent="0.25">
      <c r="B34" s="51" t="s">
        <v>523</v>
      </c>
      <c r="C34" s="3">
        <v>282000</v>
      </c>
      <c r="D34" s="3">
        <v>282000</v>
      </c>
      <c r="E34" s="3">
        <v>165000</v>
      </c>
      <c r="F34" s="10">
        <f t="shared" si="1"/>
        <v>0.58510638297872342</v>
      </c>
    </row>
    <row r="35" spans="1:6" x14ac:dyDescent="0.25">
      <c r="B35" s="96" t="s">
        <v>580</v>
      </c>
      <c r="C35" s="90">
        <v>0</v>
      </c>
      <c r="D35" s="90">
        <v>2755906</v>
      </c>
      <c r="E35" s="90">
        <v>227600</v>
      </c>
      <c r="F35" s="91">
        <f t="shared" si="1"/>
        <v>8.2586271084717694E-2</v>
      </c>
    </row>
    <row r="36" spans="1:6" x14ac:dyDescent="0.25">
      <c r="A36" t="s">
        <v>30</v>
      </c>
      <c r="B36" s="47" t="s">
        <v>268</v>
      </c>
      <c r="C36" s="3">
        <v>1181102</v>
      </c>
      <c r="D36" s="3">
        <v>1181102</v>
      </c>
      <c r="E36" s="3">
        <v>290000</v>
      </c>
      <c r="F36" s="10">
        <f t="shared" si="1"/>
        <v>0.24553340863024531</v>
      </c>
    </row>
    <row r="37" spans="1:6" x14ac:dyDescent="0.25">
      <c r="B37" s="47" t="s">
        <v>269</v>
      </c>
      <c r="C37" s="3">
        <v>157480</v>
      </c>
      <c r="D37" s="3">
        <v>157480</v>
      </c>
      <c r="E37" s="3"/>
      <c r="F37" s="10">
        <f t="shared" si="1"/>
        <v>0</v>
      </c>
    </row>
    <row r="38" spans="1:6" x14ac:dyDescent="0.25">
      <c r="B38" s="47" t="s">
        <v>270</v>
      </c>
      <c r="C38" s="3">
        <v>157480</v>
      </c>
      <c r="D38" s="3">
        <v>157480</v>
      </c>
      <c r="E38" s="3">
        <f>15000+15000+15000</f>
        <v>45000</v>
      </c>
      <c r="F38" s="10">
        <f t="shared" si="1"/>
        <v>0.28575057150114302</v>
      </c>
    </row>
    <row r="39" spans="1:6" ht="45" x14ac:dyDescent="0.25">
      <c r="B39" s="46" t="s">
        <v>408</v>
      </c>
      <c r="C39" s="3">
        <v>360000</v>
      </c>
      <c r="D39" s="3">
        <v>360000</v>
      </c>
      <c r="E39" s="3">
        <f>90000+30000</f>
        <v>120000</v>
      </c>
      <c r="F39" s="10">
        <f t="shared" si="1"/>
        <v>0.33333333333333331</v>
      </c>
    </row>
    <row r="40" spans="1:6" x14ac:dyDescent="0.25">
      <c r="B40" s="46" t="s">
        <v>524</v>
      </c>
      <c r="C40" s="3">
        <v>2160000</v>
      </c>
      <c r="D40" s="3">
        <v>2160000</v>
      </c>
      <c r="E40" s="3"/>
      <c r="F40" s="10">
        <f t="shared" si="1"/>
        <v>0</v>
      </c>
    </row>
    <row r="41" spans="1:6" ht="30" x14ac:dyDescent="0.25">
      <c r="B41" s="46" t="s">
        <v>525</v>
      </c>
      <c r="C41" s="3">
        <v>59055</v>
      </c>
      <c r="D41" s="3">
        <v>59055</v>
      </c>
      <c r="E41" s="3"/>
      <c r="F41" s="10">
        <f t="shared" si="1"/>
        <v>0</v>
      </c>
    </row>
    <row r="42" spans="1:6" ht="30" x14ac:dyDescent="0.25">
      <c r="B42" s="46" t="s">
        <v>271</v>
      </c>
      <c r="C42" s="3">
        <v>30000</v>
      </c>
      <c r="D42" s="3">
        <v>30000</v>
      </c>
      <c r="E42" s="3">
        <v>30000</v>
      </c>
      <c r="F42" s="10">
        <f t="shared" si="1"/>
        <v>1</v>
      </c>
    </row>
    <row r="43" spans="1:6" x14ac:dyDescent="0.25">
      <c r="B43" s="46" t="s">
        <v>272</v>
      </c>
      <c r="C43" s="3">
        <v>60000</v>
      </c>
      <c r="D43" s="3">
        <v>60000</v>
      </c>
      <c r="E43" s="3"/>
      <c r="F43" s="10">
        <f t="shared" si="1"/>
        <v>0</v>
      </c>
    </row>
    <row r="44" spans="1:6" ht="30" x14ac:dyDescent="0.25">
      <c r="A44" t="s">
        <v>36</v>
      </c>
      <c r="B44" s="48" t="s">
        <v>275</v>
      </c>
      <c r="C44" s="3">
        <v>360000</v>
      </c>
      <c r="D44" s="3">
        <v>360000</v>
      </c>
      <c r="E44" s="3">
        <f>60000+120000</f>
        <v>180000</v>
      </c>
      <c r="F44" s="10">
        <f t="shared" si="1"/>
        <v>0.5</v>
      </c>
    </row>
    <row r="45" spans="1:6" x14ac:dyDescent="0.25">
      <c r="B45" s="48" t="s">
        <v>274</v>
      </c>
      <c r="C45" s="3">
        <v>720000</v>
      </c>
      <c r="D45" s="3">
        <v>720000</v>
      </c>
      <c r="E45" s="3">
        <v>360000</v>
      </c>
      <c r="F45" s="10">
        <f t="shared" si="1"/>
        <v>0.5</v>
      </c>
    </row>
    <row r="46" spans="1:6" ht="30" x14ac:dyDescent="0.25">
      <c r="B46" s="46" t="s">
        <v>708</v>
      </c>
      <c r="C46" s="3">
        <v>78740</v>
      </c>
      <c r="D46" s="3">
        <v>78740</v>
      </c>
      <c r="E46" s="3">
        <f>8000</f>
        <v>8000</v>
      </c>
      <c r="F46" s="10">
        <f t="shared" si="1"/>
        <v>0.1016002032004064</v>
      </c>
    </row>
    <row r="47" spans="1:6" x14ac:dyDescent="0.25">
      <c r="B47" s="52" t="s">
        <v>526</v>
      </c>
      <c r="C47" s="3">
        <v>3149606</v>
      </c>
      <c r="D47" s="3">
        <v>3149606</v>
      </c>
      <c r="E47" s="3">
        <v>1574803</v>
      </c>
      <c r="F47" s="10">
        <f t="shared" si="1"/>
        <v>0.5</v>
      </c>
    </row>
    <row r="48" spans="1:6" x14ac:dyDescent="0.25">
      <c r="B48" s="52" t="s">
        <v>702</v>
      </c>
      <c r="C48" s="3">
        <v>0</v>
      </c>
      <c r="D48" s="3">
        <v>0</v>
      </c>
      <c r="E48" s="3">
        <v>322171</v>
      </c>
      <c r="F48" s="10" t="e">
        <f t="shared" si="1"/>
        <v>#DIV/0!</v>
      </c>
    </row>
    <row r="49" spans="1:6" x14ac:dyDescent="0.25">
      <c r="B49" s="52" t="s">
        <v>703</v>
      </c>
      <c r="C49" s="3"/>
      <c r="D49" s="3"/>
      <c r="E49" s="3">
        <v>42132</v>
      </c>
      <c r="F49" s="10"/>
    </row>
    <row r="50" spans="1:6" x14ac:dyDescent="0.25">
      <c r="B50" s="56" t="s">
        <v>527</v>
      </c>
      <c r="C50" s="3">
        <v>1968504</v>
      </c>
      <c r="D50" s="3">
        <v>1968504</v>
      </c>
      <c r="E50" s="3"/>
      <c r="F50" s="10">
        <f t="shared" si="1"/>
        <v>0</v>
      </c>
    </row>
    <row r="51" spans="1:6" x14ac:dyDescent="0.25">
      <c r="B51" s="52" t="s">
        <v>273</v>
      </c>
      <c r="C51" s="3">
        <v>200000</v>
      </c>
      <c r="D51" s="3">
        <v>200000</v>
      </c>
      <c r="E51" s="3">
        <f>105052</f>
        <v>105052</v>
      </c>
      <c r="F51" s="10">
        <f t="shared" si="1"/>
        <v>0.52525999999999995</v>
      </c>
    </row>
    <row r="52" spans="1:6" x14ac:dyDescent="0.25">
      <c r="B52" s="52" t="s">
        <v>528</v>
      </c>
      <c r="C52" s="3">
        <v>275591</v>
      </c>
      <c r="D52" s="3">
        <v>275591</v>
      </c>
      <c r="E52" s="3">
        <f>60620+249600</f>
        <v>310220</v>
      </c>
      <c r="F52" s="10">
        <f t="shared" si="1"/>
        <v>1.1256535953641447</v>
      </c>
    </row>
    <row r="53" spans="1:6" x14ac:dyDescent="0.25">
      <c r="B53" s="52" t="s">
        <v>529</v>
      </c>
      <c r="C53" s="3">
        <v>1535433</v>
      </c>
      <c r="D53" s="3">
        <v>1535433</v>
      </c>
      <c r="E53" s="126">
        <v>1748550</v>
      </c>
      <c r="F53" s="121">
        <f>E53/(D53+D54)</f>
        <v>0.99939643554034452</v>
      </c>
    </row>
    <row r="54" spans="1:6" x14ac:dyDescent="0.25">
      <c r="B54" s="52" t="s">
        <v>530</v>
      </c>
      <c r="C54" s="3">
        <v>214173</v>
      </c>
      <c r="D54" s="3">
        <v>214173</v>
      </c>
      <c r="E54" s="126"/>
      <c r="F54" s="121"/>
    </row>
    <row r="55" spans="1:6" x14ac:dyDescent="0.25">
      <c r="B55" s="52" t="s">
        <v>705</v>
      </c>
      <c r="C55" s="3">
        <v>0</v>
      </c>
      <c r="D55" s="3">
        <v>0</v>
      </c>
      <c r="E55" s="3">
        <v>55150</v>
      </c>
      <c r="F55" s="10"/>
    </row>
    <row r="56" spans="1:6" x14ac:dyDescent="0.25">
      <c r="B56" s="52" t="s">
        <v>531</v>
      </c>
      <c r="C56" s="3">
        <v>314961</v>
      </c>
      <c r="D56" s="3">
        <v>314961</v>
      </c>
      <c r="E56" s="3">
        <f>21206+189808</f>
        <v>211014</v>
      </c>
      <c r="F56" s="10">
        <f t="shared" si="1"/>
        <v>0.66996866278682121</v>
      </c>
    </row>
    <row r="57" spans="1:6" x14ac:dyDescent="0.25">
      <c r="B57" s="96" t="s">
        <v>584</v>
      </c>
      <c r="C57" s="90">
        <v>0</v>
      </c>
      <c r="D57" s="90">
        <v>6062992</v>
      </c>
      <c r="E57" s="90">
        <f>3570+5197+1200000+2500</f>
        <v>1211267</v>
      </c>
      <c r="F57" s="91">
        <f t="shared" si="1"/>
        <v>0.19978040544998246</v>
      </c>
    </row>
    <row r="58" spans="1:6" x14ac:dyDescent="0.25">
      <c r="B58" s="96" t="s">
        <v>581</v>
      </c>
      <c r="C58" s="90">
        <v>0</v>
      </c>
      <c r="D58" s="90">
        <v>600000</v>
      </c>
      <c r="E58" s="90">
        <v>369966</v>
      </c>
      <c r="F58" s="91">
        <f t="shared" si="1"/>
        <v>0.61660999999999999</v>
      </c>
    </row>
    <row r="59" spans="1:6" x14ac:dyDescent="0.25">
      <c r="A59" t="s">
        <v>44</v>
      </c>
      <c r="B59" t="s">
        <v>45</v>
      </c>
      <c r="C59" s="3">
        <v>4014410</v>
      </c>
      <c r="D59" s="3">
        <v>4014410</v>
      </c>
      <c r="E59" s="3">
        <f>2816708-809050-529-1401-19694+22950+5726+51248+67392</f>
        <v>2133350</v>
      </c>
      <c r="F59" s="10">
        <f t="shared" si="1"/>
        <v>0.53142304846789445</v>
      </c>
    </row>
    <row r="60" spans="1:6" x14ac:dyDescent="0.25">
      <c r="B60" s="96" t="s">
        <v>585</v>
      </c>
      <c r="C60" s="90">
        <v>0</v>
      </c>
      <c r="D60" s="90">
        <v>6707480</v>
      </c>
      <c r="E60" s="90">
        <v>809050</v>
      </c>
      <c r="F60" s="91">
        <f t="shared" si="1"/>
        <v>0.12061907005313471</v>
      </c>
    </row>
    <row r="61" spans="1:6" x14ac:dyDescent="0.25">
      <c r="A61" t="s">
        <v>48</v>
      </c>
      <c r="B61" s="46" t="s">
        <v>251</v>
      </c>
      <c r="C61" s="3">
        <v>200000</v>
      </c>
      <c r="D61" s="3">
        <v>200000</v>
      </c>
      <c r="E61" s="3">
        <f>522400+147000</f>
        <v>669400</v>
      </c>
      <c r="F61" s="10">
        <f t="shared" si="1"/>
        <v>3.347</v>
      </c>
    </row>
    <row r="62" spans="1:6" ht="30" x14ac:dyDescent="0.25">
      <c r="B62" s="46" t="s">
        <v>707</v>
      </c>
      <c r="C62" s="3">
        <v>1375000</v>
      </c>
      <c r="D62" s="3">
        <v>1375000</v>
      </c>
      <c r="E62" s="3">
        <v>900000</v>
      </c>
      <c r="F62" s="10">
        <f>E62/D62</f>
        <v>0.65454545454545454</v>
      </c>
    </row>
    <row r="63" spans="1:6" x14ac:dyDescent="0.25">
      <c r="B63" s="46" t="s">
        <v>532</v>
      </c>
      <c r="C63" s="3">
        <v>63500</v>
      </c>
      <c r="D63" s="3">
        <v>63500</v>
      </c>
      <c r="E63" s="3">
        <v>50000</v>
      </c>
      <c r="F63" s="10"/>
    </row>
    <row r="64" spans="1:6" x14ac:dyDescent="0.25">
      <c r="B64" s="46" t="s">
        <v>276</v>
      </c>
      <c r="C64" s="3">
        <v>1000000</v>
      </c>
      <c r="D64" s="3">
        <f>1000000-35000-335400</f>
        <v>629600</v>
      </c>
      <c r="E64" s="3">
        <f>38000+2000</f>
        <v>40000</v>
      </c>
      <c r="F64" s="10">
        <f t="shared" si="1"/>
        <v>6.353240152477764E-2</v>
      </c>
    </row>
    <row r="65" spans="1:8" x14ac:dyDescent="0.25">
      <c r="B65" s="56" t="s">
        <v>533</v>
      </c>
      <c r="C65" s="3">
        <v>40000</v>
      </c>
      <c r="D65" s="3">
        <v>40000</v>
      </c>
      <c r="E65" s="3"/>
      <c r="F65" s="10"/>
    </row>
    <row r="66" spans="1:8" ht="30" x14ac:dyDescent="0.25">
      <c r="B66" s="46" t="s">
        <v>277</v>
      </c>
      <c r="C66" s="3">
        <v>100000</v>
      </c>
      <c r="D66" s="3">
        <v>100000</v>
      </c>
      <c r="E66" s="3"/>
      <c r="F66" s="10">
        <f t="shared" si="1"/>
        <v>0</v>
      </c>
    </row>
    <row r="67" spans="1:8" x14ac:dyDescent="0.25">
      <c r="B67" s="46" t="s">
        <v>278</v>
      </c>
      <c r="C67" s="3">
        <v>10000</v>
      </c>
      <c r="D67" s="3">
        <v>10000</v>
      </c>
      <c r="E67" s="3">
        <v>10000</v>
      </c>
      <c r="F67" s="10">
        <f t="shared" si="1"/>
        <v>1</v>
      </c>
    </row>
    <row r="68" spans="1:8" s="4" customFormat="1" x14ac:dyDescent="0.25">
      <c r="A68" s="4" t="s">
        <v>52</v>
      </c>
      <c r="B68" s="4" t="s">
        <v>53</v>
      </c>
      <c r="C68" s="5">
        <f>SUM(C9:C67)</f>
        <v>24755335</v>
      </c>
      <c r="D68" s="5">
        <f t="shared" ref="D68:E68" si="2">SUM(D9:D67)</f>
        <v>56701735</v>
      </c>
      <c r="E68" s="103">
        <f t="shared" si="2"/>
        <v>17883502</v>
      </c>
      <c r="F68" s="11">
        <f t="shared" si="1"/>
        <v>0.31539602800513955</v>
      </c>
      <c r="H68" s="104"/>
    </row>
    <row r="69" spans="1:8" x14ac:dyDescent="0.25">
      <c r="A69" t="s">
        <v>206</v>
      </c>
      <c r="B69" t="s">
        <v>279</v>
      </c>
      <c r="C69" s="3">
        <v>15000000</v>
      </c>
      <c r="D69" s="3">
        <f>15000000-10416666</f>
        <v>4583334</v>
      </c>
      <c r="E69" s="3">
        <v>4583334</v>
      </c>
      <c r="F69" s="10">
        <f t="shared" si="1"/>
        <v>1</v>
      </c>
    </row>
    <row r="70" spans="1:8" s="4" customFormat="1" x14ac:dyDescent="0.25">
      <c r="A70" s="4" t="s">
        <v>55</v>
      </c>
      <c r="B70" s="4" t="s">
        <v>56</v>
      </c>
      <c r="C70" s="5">
        <f>SUM(C69:C69)</f>
        <v>15000000</v>
      </c>
      <c r="D70" s="5">
        <f>SUM(D69:D69)</f>
        <v>4583334</v>
      </c>
      <c r="E70" s="5">
        <f>SUM(E69:E69)</f>
        <v>4583334</v>
      </c>
      <c r="F70" s="11">
        <f t="shared" si="1"/>
        <v>1</v>
      </c>
    </row>
    <row r="71" spans="1:8" x14ac:dyDescent="0.25">
      <c r="A71" t="s">
        <v>229</v>
      </c>
      <c r="B71" t="s">
        <v>280</v>
      </c>
      <c r="C71" s="3">
        <v>472441</v>
      </c>
      <c r="D71" s="3">
        <v>472441</v>
      </c>
      <c r="E71" s="3">
        <v>450000</v>
      </c>
      <c r="F71" s="10">
        <f t="shared" si="1"/>
        <v>0.95249988887501291</v>
      </c>
    </row>
    <row r="72" spans="1:8" x14ac:dyDescent="0.25">
      <c r="B72" t="s">
        <v>534</v>
      </c>
      <c r="C72" s="3">
        <v>700000</v>
      </c>
      <c r="D72" s="3">
        <v>700000</v>
      </c>
      <c r="E72" s="3"/>
      <c r="F72" s="10"/>
    </row>
    <row r="73" spans="1:8" ht="30" x14ac:dyDescent="0.25">
      <c r="B73" s="73" t="s">
        <v>709</v>
      </c>
      <c r="C73" s="3">
        <v>0</v>
      </c>
      <c r="D73" s="3">
        <v>0</v>
      </c>
      <c r="E73" s="3">
        <v>80000</v>
      </c>
      <c r="F73" s="10"/>
    </row>
    <row r="74" spans="1:8" x14ac:dyDescent="0.25">
      <c r="B74" t="s">
        <v>535</v>
      </c>
      <c r="C74" s="3">
        <v>300000</v>
      </c>
      <c r="D74" s="3">
        <v>300000</v>
      </c>
      <c r="E74" s="3">
        <v>300000</v>
      </c>
      <c r="F74" s="10">
        <f t="shared" si="1"/>
        <v>1</v>
      </c>
    </row>
    <row r="75" spans="1:8" x14ac:dyDescent="0.25">
      <c r="A75" t="s">
        <v>230</v>
      </c>
      <c r="B75" t="s">
        <v>527</v>
      </c>
      <c r="C75" s="3">
        <v>0</v>
      </c>
      <c r="D75" s="3">
        <v>0</v>
      </c>
      <c r="E75" s="3">
        <f>14158+38786</f>
        <v>52944</v>
      </c>
      <c r="F75" s="10"/>
    </row>
    <row r="76" spans="1:8" x14ac:dyDescent="0.25">
      <c r="A76" t="s">
        <v>281</v>
      </c>
      <c r="B76" s="47" t="s">
        <v>536</v>
      </c>
      <c r="C76" s="3">
        <v>362205</v>
      </c>
      <c r="D76" s="3">
        <v>362205</v>
      </c>
      <c r="E76" s="3"/>
      <c r="F76" s="10">
        <f t="shared" si="1"/>
        <v>0</v>
      </c>
    </row>
    <row r="77" spans="1:8" x14ac:dyDescent="0.25">
      <c r="B77" s="47" t="s">
        <v>537</v>
      </c>
      <c r="C77" s="3">
        <v>933071</v>
      </c>
      <c r="D77" s="3">
        <v>933071</v>
      </c>
      <c r="E77" s="3"/>
      <c r="F77" s="10"/>
    </row>
    <row r="78" spans="1:8" x14ac:dyDescent="0.25">
      <c r="B78" s="47" t="s">
        <v>711</v>
      </c>
      <c r="C78" s="3"/>
      <c r="D78" s="3"/>
      <c r="E78" s="3">
        <v>1580000</v>
      </c>
      <c r="F78" s="10"/>
    </row>
    <row r="79" spans="1:8" x14ac:dyDescent="0.25">
      <c r="B79" s="96" t="s">
        <v>572</v>
      </c>
      <c r="C79" s="90">
        <v>0</v>
      </c>
      <c r="D79" s="90">
        <v>393701</v>
      </c>
      <c r="E79" s="90"/>
      <c r="F79" s="91"/>
    </row>
    <row r="80" spans="1:8" x14ac:dyDescent="0.25">
      <c r="A80" t="s">
        <v>231</v>
      </c>
      <c r="B80" s="14" t="s">
        <v>282</v>
      </c>
      <c r="C80" s="3">
        <v>127559</v>
      </c>
      <c r="D80" s="3">
        <v>127559</v>
      </c>
      <c r="E80" s="3"/>
      <c r="F80" s="10">
        <f t="shared" si="1"/>
        <v>0</v>
      </c>
    </row>
    <row r="81" spans="1:8" x14ac:dyDescent="0.25">
      <c r="B81" s="47" t="s">
        <v>538</v>
      </c>
      <c r="C81" s="3">
        <v>97795</v>
      </c>
      <c r="D81" s="3">
        <v>97795</v>
      </c>
      <c r="E81" s="3"/>
      <c r="F81" s="10"/>
    </row>
    <row r="82" spans="1:8" x14ac:dyDescent="0.25">
      <c r="B82" t="s">
        <v>710</v>
      </c>
      <c r="C82" s="3"/>
      <c r="D82" s="3"/>
      <c r="E82" s="3">
        <f>10472+3822</f>
        <v>14294</v>
      </c>
      <c r="F82" s="10"/>
    </row>
    <row r="83" spans="1:8" x14ac:dyDescent="0.25">
      <c r="B83" s="47" t="s">
        <v>712</v>
      </c>
      <c r="C83" s="3"/>
      <c r="D83" s="3"/>
      <c r="E83" s="3">
        <v>426600</v>
      </c>
      <c r="F83" s="10"/>
    </row>
    <row r="84" spans="1:8" x14ac:dyDescent="0.25">
      <c r="B84" s="47" t="s">
        <v>539</v>
      </c>
      <c r="C84" s="3">
        <v>251929</v>
      </c>
      <c r="D84" s="3">
        <v>251929</v>
      </c>
      <c r="E84" s="3"/>
      <c r="F84" s="10">
        <f t="shared" si="1"/>
        <v>0</v>
      </c>
    </row>
    <row r="85" spans="1:8" x14ac:dyDescent="0.25">
      <c r="B85" s="96" t="s">
        <v>573</v>
      </c>
      <c r="C85" s="90">
        <v>0</v>
      </c>
      <c r="D85" s="90">
        <v>106299</v>
      </c>
      <c r="E85" s="90"/>
      <c r="F85" s="91"/>
    </row>
    <row r="86" spans="1:8" s="4" customFormat="1" x14ac:dyDescent="0.25">
      <c r="A86" s="4" t="s">
        <v>232</v>
      </c>
      <c r="B86" s="4" t="s">
        <v>233</v>
      </c>
      <c r="C86" s="5">
        <f>SUM(C71:C85)</f>
        <v>3245000</v>
      </c>
      <c r="D86" s="5">
        <f>SUM(D71:D85)</f>
        <v>3745000</v>
      </c>
      <c r="E86" s="5">
        <f>SUM(E71:E84)</f>
        <v>2903838</v>
      </c>
      <c r="F86" s="11">
        <f t="shared" ref="F86" si="3">E86/D86</f>
        <v>0.77539065420560749</v>
      </c>
    </row>
    <row r="87" spans="1:8" s="4" customFormat="1" x14ac:dyDescent="0.25">
      <c r="C87" s="5"/>
      <c r="D87" s="5"/>
      <c r="E87" s="5"/>
      <c r="F87" s="11"/>
    </row>
    <row r="88" spans="1:8" s="8" customFormat="1" ht="15.75" x14ac:dyDescent="0.25">
      <c r="B88" s="8" t="s">
        <v>57</v>
      </c>
      <c r="C88" s="9">
        <f>C70+C68+C86+C8+C7</f>
        <v>43000335</v>
      </c>
      <c r="D88" s="9">
        <f>D70+D68+D86+D8+D7</f>
        <v>97477115</v>
      </c>
      <c r="E88" s="9">
        <f>E70+E68+E86+E8+E7</f>
        <v>35604017</v>
      </c>
      <c r="F88" s="11">
        <f t="shared" si="1"/>
        <v>0.36525513706473567</v>
      </c>
    </row>
    <row r="89" spans="1:8" x14ac:dyDescent="0.25">
      <c r="C89" s="3"/>
      <c r="D89" s="3"/>
      <c r="E89" s="3"/>
    </row>
    <row r="90" spans="1:8" x14ac:dyDescent="0.25">
      <c r="C90" s="3"/>
      <c r="D90" s="3"/>
      <c r="E90" s="3"/>
    </row>
    <row r="91" spans="1:8" ht="15.75" x14ac:dyDescent="0.25">
      <c r="B91" s="42" t="s">
        <v>58</v>
      </c>
      <c r="C91" s="3"/>
      <c r="D91" s="3"/>
      <c r="E91" s="3"/>
    </row>
    <row r="92" spans="1:8" x14ac:dyDescent="0.25">
      <c r="C92" s="3"/>
      <c r="D92" s="3"/>
      <c r="E92" s="3"/>
    </row>
    <row r="93" spans="1:8" x14ac:dyDescent="0.25">
      <c r="A93" t="s">
        <v>219</v>
      </c>
      <c r="B93" t="s">
        <v>283</v>
      </c>
      <c r="C93" s="3">
        <v>250000</v>
      </c>
      <c r="D93" s="3">
        <v>250000</v>
      </c>
      <c r="E93" s="3"/>
      <c r="F93" s="10">
        <f t="shared" ref="F93:F97" si="4">E93/D93</f>
        <v>0</v>
      </c>
    </row>
    <row r="94" spans="1:8" ht="30" x14ac:dyDescent="0.25">
      <c r="A94" t="s">
        <v>162</v>
      </c>
      <c r="B94" s="43" t="s">
        <v>284</v>
      </c>
      <c r="C94" s="3">
        <v>8650000</v>
      </c>
      <c r="D94" s="3">
        <v>8650000</v>
      </c>
      <c r="E94" s="3">
        <f>2418078</f>
        <v>2418078</v>
      </c>
      <c r="F94" s="10">
        <f t="shared" si="4"/>
        <v>0.27954658959537571</v>
      </c>
      <c r="G94" s="127" t="s">
        <v>722</v>
      </c>
      <c r="H94" s="127"/>
    </row>
    <row r="95" spans="1:8" x14ac:dyDescent="0.25">
      <c r="B95" s="43" t="s">
        <v>724</v>
      </c>
      <c r="C95" s="3">
        <v>0</v>
      </c>
      <c r="D95" s="3">
        <v>0</v>
      </c>
      <c r="E95" s="3">
        <f>22500+5000</f>
        <v>27500</v>
      </c>
      <c r="F95" s="10"/>
      <c r="G95" s="107"/>
      <c r="H95" s="107"/>
    </row>
    <row r="96" spans="1:8" x14ac:dyDescent="0.25">
      <c r="B96" s="43" t="s">
        <v>723</v>
      </c>
      <c r="C96" s="3"/>
      <c r="D96" s="3"/>
      <c r="E96" s="3">
        <f>2500+19650</f>
        <v>22150</v>
      </c>
      <c r="F96" s="10"/>
      <c r="G96" s="107"/>
      <c r="H96" s="107"/>
    </row>
    <row r="97" spans="1:6" x14ac:dyDescent="0.25">
      <c r="A97" t="s">
        <v>170</v>
      </c>
      <c r="B97" t="s">
        <v>171</v>
      </c>
      <c r="C97" s="3">
        <v>2403000</v>
      </c>
      <c r="D97" s="3">
        <v>2403000</v>
      </c>
      <c r="E97" s="3">
        <f>652881+675+6075+5306+1350</f>
        <v>666287</v>
      </c>
      <c r="F97" s="10">
        <f t="shared" si="4"/>
        <v>0.27727299209321682</v>
      </c>
    </row>
    <row r="98" spans="1:6" x14ac:dyDescent="0.25">
      <c r="A98" t="s">
        <v>393</v>
      </c>
      <c r="B98" t="s">
        <v>394</v>
      </c>
      <c r="C98" s="3">
        <v>0</v>
      </c>
      <c r="D98" s="3">
        <v>0</v>
      </c>
      <c r="E98" s="3">
        <v>27385</v>
      </c>
      <c r="F98" s="10"/>
    </row>
    <row r="99" spans="1:6" ht="30" x14ac:dyDescent="0.25">
      <c r="A99" t="s">
        <v>129</v>
      </c>
      <c r="B99" s="43" t="s">
        <v>725</v>
      </c>
      <c r="C99" s="3">
        <v>0</v>
      </c>
      <c r="D99" s="3">
        <v>0</v>
      </c>
      <c r="E99" s="3">
        <v>250000</v>
      </c>
      <c r="F99" s="10"/>
    </row>
    <row r="100" spans="1:6" x14ac:dyDescent="0.25">
      <c r="B100" s="43" t="s">
        <v>730</v>
      </c>
      <c r="C100" s="3"/>
      <c r="D100" s="3"/>
      <c r="E100" s="3">
        <f>30000+10000</f>
        <v>40000</v>
      </c>
      <c r="F100" s="10"/>
    </row>
    <row r="101" spans="1:6" ht="30" x14ac:dyDescent="0.25">
      <c r="B101" s="43" t="s">
        <v>726</v>
      </c>
      <c r="C101" s="3"/>
      <c r="D101" s="3">
        <v>173174</v>
      </c>
      <c r="E101" s="3">
        <f>350444+64871</f>
        <v>415315</v>
      </c>
      <c r="F101" s="10"/>
    </row>
    <row r="102" spans="1:6" x14ac:dyDescent="0.25">
      <c r="B102" s="56" t="s">
        <v>727</v>
      </c>
      <c r="C102" s="3"/>
      <c r="D102" s="3"/>
      <c r="E102" s="3">
        <v>11818</v>
      </c>
      <c r="F102" s="10"/>
    </row>
    <row r="103" spans="1:6" s="8" customFormat="1" ht="15.75" x14ac:dyDescent="0.25">
      <c r="B103" s="8" t="s">
        <v>131</v>
      </c>
      <c r="C103" s="9">
        <f>SUM(C93:C102)</f>
        <v>11303000</v>
      </c>
      <c r="D103" s="9">
        <f t="shared" ref="D103:E103" si="5">SUM(D93:D102)</f>
        <v>11476174</v>
      </c>
      <c r="E103" s="9">
        <f t="shared" si="5"/>
        <v>3878533</v>
      </c>
      <c r="F103" s="11">
        <f t="shared" ref="F103" si="6">E103/D103</f>
        <v>0.3379639416411776</v>
      </c>
    </row>
    <row r="104" spans="1:6" x14ac:dyDescent="0.25">
      <c r="C104" s="3"/>
      <c r="D104" s="3"/>
      <c r="E104" s="3"/>
    </row>
    <row r="105" spans="1:6" x14ac:dyDescent="0.25">
      <c r="C105" s="3"/>
      <c r="D105" s="3"/>
      <c r="E105" s="3"/>
    </row>
    <row r="106" spans="1:6" x14ac:dyDescent="0.25">
      <c r="C106" s="3"/>
      <c r="D106" s="3"/>
      <c r="E106" s="3"/>
    </row>
    <row r="107" spans="1:6" x14ac:dyDescent="0.25">
      <c r="C107" s="3"/>
      <c r="D107" s="3"/>
      <c r="E107" s="3"/>
    </row>
    <row r="108" spans="1:6" x14ac:dyDescent="0.25">
      <c r="C108" s="3"/>
      <c r="D108" s="3"/>
      <c r="E108" s="3"/>
    </row>
    <row r="109" spans="1:6" x14ac:dyDescent="0.25">
      <c r="C109" s="3"/>
      <c r="D109" s="3"/>
      <c r="E109" s="3"/>
    </row>
    <row r="110" spans="1:6" x14ac:dyDescent="0.25">
      <c r="C110" s="3"/>
      <c r="D110" s="3"/>
      <c r="E110" s="3"/>
    </row>
    <row r="111" spans="1:6" x14ac:dyDescent="0.25">
      <c r="C111" s="3"/>
      <c r="D111" s="3"/>
      <c r="E111" s="3"/>
    </row>
    <row r="112" spans="1:6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  <row r="466" spans="3:5" x14ac:dyDescent="0.25">
      <c r="C466" s="3"/>
      <c r="D466" s="3"/>
      <c r="E466" s="3"/>
    </row>
    <row r="467" spans="3:5" x14ac:dyDescent="0.25">
      <c r="C467" s="3"/>
      <c r="D467" s="3"/>
      <c r="E467" s="3"/>
    </row>
    <row r="468" spans="3:5" x14ac:dyDescent="0.25">
      <c r="C468" s="3"/>
      <c r="D468" s="3"/>
      <c r="E468" s="3"/>
    </row>
    <row r="469" spans="3:5" x14ac:dyDescent="0.25">
      <c r="C469" s="3"/>
      <c r="D469" s="3"/>
      <c r="E469" s="3"/>
    </row>
    <row r="470" spans="3:5" x14ac:dyDescent="0.25">
      <c r="C470" s="3"/>
      <c r="D470" s="3"/>
      <c r="E470" s="3"/>
    </row>
    <row r="471" spans="3:5" x14ac:dyDescent="0.25">
      <c r="C471" s="3"/>
      <c r="D471" s="3"/>
      <c r="E471" s="3"/>
    </row>
    <row r="472" spans="3:5" x14ac:dyDescent="0.25">
      <c r="C472" s="3"/>
      <c r="D472" s="3"/>
      <c r="E472" s="3"/>
    </row>
    <row r="473" spans="3:5" x14ac:dyDescent="0.25">
      <c r="C473" s="3"/>
      <c r="D473" s="3"/>
      <c r="E473" s="3"/>
    </row>
    <row r="474" spans="3:5" x14ac:dyDescent="0.25">
      <c r="C474" s="3"/>
      <c r="D474" s="3"/>
      <c r="E474" s="3"/>
    </row>
    <row r="475" spans="3:5" x14ac:dyDescent="0.25">
      <c r="C475" s="3"/>
      <c r="D475" s="3"/>
      <c r="E475" s="3"/>
    </row>
    <row r="476" spans="3:5" x14ac:dyDescent="0.25">
      <c r="C476" s="3"/>
      <c r="D476" s="3"/>
      <c r="E476" s="3"/>
    </row>
    <row r="477" spans="3:5" x14ac:dyDescent="0.25">
      <c r="C477" s="3"/>
      <c r="D477" s="3"/>
      <c r="E477" s="3"/>
    </row>
    <row r="478" spans="3:5" x14ac:dyDescent="0.25">
      <c r="C478" s="3"/>
      <c r="D478" s="3"/>
      <c r="E478" s="3"/>
    </row>
    <row r="479" spans="3:5" x14ac:dyDescent="0.25">
      <c r="C479" s="3"/>
      <c r="D479" s="3"/>
      <c r="E479" s="3"/>
    </row>
    <row r="480" spans="3:5" x14ac:dyDescent="0.25">
      <c r="C480" s="3"/>
      <c r="D480" s="3"/>
      <c r="E480" s="3"/>
    </row>
    <row r="481" spans="3:5" x14ac:dyDescent="0.25">
      <c r="C481" s="3"/>
      <c r="D481" s="3"/>
      <c r="E481" s="3"/>
    </row>
    <row r="482" spans="3:5" x14ac:dyDescent="0.25">
      <c r="C482" s="3"/>
      <c r="D482" s="3"/>
      <c r="E482" s="3"/>
    </row>
    <row r="483" spans="3:5" x14ac:dyDescent="0.25">
      <c r="C483" s="3"/>
      <c r="D483" s="3"/>
      <c r="E483" s="3"/>
    </row>
    <row r="484" spans="3:5" x14ac:dyDescent="0.25">
      <c r="C484" s="3"/>
      <c r="D484" s="3"/>
      <c r="E484" s="3"/>
    </row>
    <row r="485" spans="3:5" x14ac:dyDescent="0.25">
      <c r="C485" s="3"/>
      <c r="D485" s="3"/>
      <c r="E485" s="3"/>
    </row>
    <row r="486" spans="3:5" x14ac:dyDescent="0.25">
      <c r="C486" s="3"/>
      <c r="D486" s="3"/>
      <c r="E486" s="3"/>
    </row>
    <row r="487" spans="3:5" x14ac:dyDescent="0.25">
      <c r="C487" s="3"/>
      <c r="D487" s="3"/>
      <c r="E487" s="3"/>
    </row>
    <row r="488" spans="3:5" x14ac:dyDescent="0.25">
      <c r="C488" s="3"/>
      <c r="D488" s="3"/>
      <c r="E488" s="3"/>
    </row>
    <row r="489" spans="3:5" x14ac:dyDescent="0.25">
      <c r="C489" s="3"/>
      <c r="D489" s="3"/>
      <c r="E489" s="3"/>
    </row>
    <row r="490" spans="3:5" x14ac:dyDescent="0.25">
      <c r="C490" s="3"/>
      <c r="D490" s="3"/>
      <c r="E490" s="3"/>
    </row>
    <row r="491" spans="3:5" x14ac:dyDescent="0.25">
      <c r="C491" s="3"/>
      <c r="D491" s="3"/>
      <c r="E491" s="3"/>
    </row>
    <row r="492" spans="3:5" x14ac:dyDescent="0.25">
      <c r="C492" s="3"/>
      <c r="D492" s="3"/>
      <c r="E492" s="3"/>
    </row>
    <row r="493" spans="3:5" x14ac:dyDescent="0.25">
      <c r="C493" s="3"/>
      <c r="D493" s="3"/>
      <c r="E493" s="3"/>
    </row>
    <row r="494" spans="3:5" x14ac:dyDescent="0.25">
      <c r="C494" s="3"/>
      <c r="D494" s="3"/>
      <c r="E494" s="3"/>
    </row>
    <row r="495" spans="3:5" x14ac:dyDescent="0.25">
      <c r="C495" s="3"/>
      <c r="D495" s="3"/>
      <c r="E495" s="3"/>
    </row>
    <row r="496" spans="3:5" x14ac:dyDescent="0.25">
      <c r="C496" s="3"/>
      <c r="D496" s="3"/>
      <c r="E496" s="3"/>
    </row>
    <row r="497" spans="3:5" x14ac:dyDescent="0.25">
      <c r="C497" s="3"/>
      <c r="D497" s="3"/>
      <c r="E497" s="3"/>
    </row>
    <row r="498" spans="3:5" x14ac:dyDescent="0.25">
      <c r="C498" s="3"/>
      <c r="D498" s="3"/>
      <c r="E498" s="3"/>
    </row>
    <row r="499" spans="3:5" x14ac:dyDescent="0.25">
      <c r="C499" s="3"/>
      <c r="D499" s="3"/>
      <c r="E499" s="3"/>
    </row>
    <row r="500" spans="3:5" x14ac:dyDescent="0.25">
      <c r="C500" s="3"/>
      <c r="D500" s="3"/>
      <c r="E500" s="3"/>
    </row>
    <row r="501" spans="3:5" x14ac:dyDescent="0.25">
      <c r="C501" s="3"/>
      <c r="D501" s="3"/>
      <c r="E501" s="3"/>
    </row>
    <row r="502" spans="3:5" x14ac:dyDescent="0.25">
      <c r="C502" s="3"/>
      <c r="D502" s="3"/>
      <c r="E502" s="3"/>
    </row>
    <row r="503" spans="3:5" x14ac:dyDescent="0.25">
      <c r="C503" s="3"/>
      <c r="D503" s="3"/>
      <c r="E503" s="3"/>
    </row>
    <row r="504" spans="3:5" x14ac:dyDescent="0.25">
      <c r="C504" s="3"/>
      <c r="D504" s="3"/>
      <c r="E504" s="3"/>
    </row>
    <row r="505" spans="3:5" x14ac:dyDescent="0.25">
      <c r="C505" s="3"/>
      <c r="D505" s="3"/>
      <c r="E505" s="3"/>
    </row>
    <row r="506" spans="3:5" x14ac:dyDescent="0.25">
      <c r="C506" s="3"/>
      <c r="D506" s="3"/>
      <c r="E506" s="3"/>
    </row>
    <row r="507" spans="3:5" x14ac:dyDescent="0.25">
      <c r="C507" s="3"/>
      <c r="D507" s="3"/>
      <c r="E507" s="3"/>
    </row>
    <row r="508" spans="3:5" x14ac:dyDescent="0.25">
      <c r="C508" s="3"/>
      <c r="D508" s="3"/>
      <c r="E508" s="3"/>
    </row>
    <row r="509" spans="3:5" x14ac:dyDescent="0.25">
      <c r="C509" s="3"/>
      <c r="D509" s="3"/>
      <c r="E509" s="3"/>
    </row>
    <row r="510" spans="3:5" x14ac:dyDescent="0.25">
      <c r="C510" s="3"/>
      <c r="D510" s="3"/>
      <c r="E510" s="3"/>
    </row>
    <row r="511" spans="3:5" x14ac:dyDescent="0.25">
      <c r="C511" s="3"/>
      <c r="D511" s="3"/>
      <c r="E511" s="3"/>
    </row>
    <row r="512" spans="3:5" x14ac:dyDescent="0.25">
      <c r="C512" s="3"/>
      <c r="D512" s="3"/>
      <c r="E512" s="3"/>
    </row>
    <row r="513" spans="3:5" x14ac:dyDescent="0.25">
      <c r="C513" s="3"/>
      <c r="D513" s="3"/>
      <c r="E513" s="3"/>
    </row>
    <row r="514" spans="3:5" x14ac:dyDescent="0.25">
      <c r="C514" s="3"/>
      <c r="D514" s="3"/>
      <c r="E514" s="3"/>
    </row>
    <row r="515" spans="3:5" x14ac:dyDescent="0.25">
      <c r="C515" s="3"/>
      <c r="D515" s="3"/>
      <c r="E515" s="3"/>
    </row>
    <row r="516" spans="3:5" x14ac:dyDescent="0.25">
      <c r="C516" s="3"/>
      <c r="D516" s="3"/>
      <c r="E516" s="3"/>
    </row>
    <row r="517" spans="3:5" x14ac:dyDescent="0.25">
      <c r="C517" s="3"/>
      <c r="D517" s="3"/>
      <c r="E517" s="3"/>
    </row>
    <row r="518" spans="3:5" x14ac:dyDescent="0.25">
      <c r="C518" s="3"/>
      <c r="D518" s="3"/>
      <c r="E518" s="3"/>
    </row>
    <row r="519" spans="3:5" x14ac:dyDescent="0.25">
      <c r="C519" s="3"/>
      <c r="D519" s="3"/>
      <c r="E519" s="3"/>
    </row>
    <row r="520" spans="3:5" x14ac:dyDescent="0.25">
      <c r="C520" s="3"/>
      <c r="D520" s="3"/>
      <c r="E520" s="3"/>
    </row>
    <row r="521" spans="3:5" x14ac:dyDescent="0.25">
      <c r="C521" s="3"/>
      <c r="D521" s="3"/>
      <c r="E521" s="3"/>
    </row>
    <row r="522" spans="3:5" x14ac:dyDescent="0.25">
      <c r="C522" s="3"/>
      <c r="D522" s="3"/>
      <c r="E522" s="3"/>
    </row>
    <row r="523" spans="3:5" x14ac:dyDescent="0.25">
      <c r="C523" s="3"/>
      <c r="D523" s="3"/>
      <c r="E523" s="3"/>
    </row>
    <row r="524" spans="3:5" x14ac:dyDescent="0.25">
      <c r="C524" s="3"/>
      <c r="D524" s="3"/>
      <c r="E524" s="3"/>
    </row>
    <row r="525" spans="3:5" x14ac:dyDescent="0.25">
      <c r="C525" s="3"/>
      <c r="D525" s="3"/>
      <c r="E525" s="3"/>
    </row>
    <row r="526" spans="3:5" x14ac:dyDescent="0.25">
      <c r="C526" s="3"/>
      <c r="D526" s="3"/>
      <c r="E526" s="3"/>
    </row>
    <row r="527" spans="3:5" x14ac:dyDescent="0.25">
      <c r="C527" s="3"/>
      <c r="D527" s="3"/>
      <c r="E527" s="3"/>
    </row>
    <row r="528" spans="3:5" x14ac:dyDescent="0.25">
      <c r="C528" s="3"/>
      <c r="D528" s="3"/>
      <c r="E528" s="3"/>
    </row>
    <row r="529" spans="3:5" x14ac:dyDescent="0.25">
      <c r="C529" s="3"/>
      <c r="D529" s="3"/>
      <c r="E529" s="3"/>
    </row>
    <row r="530" spans="3:5" x14ac:dyDescent="0.25">
      <c r="C530" s="3"/>
      <c r="D530" s="3"/>
      <c r="E530" s="3"/>
    </row>
  </sheetData>
  <mergeCells count="5">
    <mergeCell ref="B2:F2"/>
    <mergeCell ref="H2:K2"/>
    <mergeCell ref="E53:E54"/>
    <mergeCell ref="F53:F54"/>
    <mergeCell ref="G94:H94"/>
  </mergeCells>
  <pageMargins left="0.7" right="0.7" top="0.75" bottom="0.75" header="0.3" footer="0.3"/>
  <pageSetup paperSize="9" scale="55" orientation="portrait" r:id="rId1"/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L447"/>
  <sheetViews>
    <sheetView topLeftCell="A3" zoomScaleNormal="100" workbookViewId="0">
      <selection activeCell="B34" sqref="B34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100</v>
      </c>
      <c r="B2" s="120" t="s">
        <v>101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267</v>
      </c>
      <c r="B4" t="s">
        <v>285</v>
      </c>
      <c r="C4" s="3">
        <v>720000</v>
      </c>
      <c r="D4" s="3">
        <v>720000</v>
      </c>
      <c r="E4" s="3">
        <f>300000+60000</f>
        <v>360000</v>
      </c>
      <c r="F4" s="10">
        <f t="shared" ref="F4:F12" si="0">E4/D4</f>
        <v>0.5</v>
      </c>
    </row>
    <row r="5" spans="1:12" x14ac:dyDescent="0.25">
      <c r="A5" t="s">
        <v>147</v>
      </c>
      <c r="B5" t="s">
        <v>286</v>
      </c>
      <c r="C5" s="3">
        <v>0</v>
      </c>
      <c r="D5" s="3">
        <f>450200</f>
        <v>450200</v>
      </c>
      <c r="E5" s="3">
        <f>68550+48000+112550</f>
        <v>229100</v>
      </c>
      <c r="F5" s="10"/>
    </row>
    <row r="6" spans="1:12" x14ac:dyDescent="0.25">
      <c r="A6" t="s">
        <v>44</v>
      </c>
      <c r="B6" t="s">
        <v>45</v>
      </c>
      <c r="C6" s="3">
        <v>0</v>
      </c>
      <c r="D6" s="3">
        <f>121554</f>
        <v>121554</v>
      </c>
      <c r="E6" s="3">
        <f>61858</f>
        <v>61858</v>
      </c>
      <c r="F6" s="10"/>
    </row>
    <row r="7" spans="1:12" x14ac:dyDescent="0.25">
      <c r="A7" t="s">
        <v>48</v>
      </c>
      <c r="B7" t="s">
        <v>540</v>
      </c>
      <c r="C7" s="3">
        <v>100000</v>
      </c>
      <c r="D7" s="3">
        <v>100000</v>
      </c>
      <c r="E7" s="3"/>
      <c r="F7" s="10">
        <f t="shared" si="0"/>
        <v>0</v>
      </c>
    </row>
    <row r="8" spans="1:12" s="4" customFormat="1" x14ac:dyDescent="0.25">
      <c r="A8" s="4" t="s">
        <v>52</v>
      </c>
      <c r="B8" s="4" t="s">
        <v>53</v>
      </c>
      <c r="C8" s="5">
        <f>SUM(C4:C7)</f>
        <v>820000</v>
      </c>
      <c r="D8" s="5">
        <f>SUM(D4:D7)</f>
        <v>1391754</v>
      </c>
      <c r="E8" s="5">
        <f>SUM(E4:E7)</f>
        <v>650958</v>
      </c>
      <c r="F8" s="11">
        <f t="shared" si="0"/>
        <v>0.46772489965899144</v>
      </c>
    </row>
    <row r="9" spans="1:12" x14ac:dyDescent="0.25">
      <c r="A9" t="s">
        <v>206</v>
      </c>
      <c r="B9" t="s">
        <v>541</v>
      </c>
      <c r="C9" s="3">
        <v>33000000</v>
      </c>
      <c r="D9" s="3">
        <v>33000000</v>
      </c>
      <c r="E9" s="3">
        <v>9548000</v>
      </c>
      <c r="F9" s="10">
        <f t="shared" si="0"/>
        <v>0.28933333333333333</v>
      </c>
    </row>
    <row r="10" spans="1:12" s="4" customFormat="1" x14ac:dyDescent="0.25">
      <c r="A10" s="4" t="s">
        <v>55</v>
      </c>
      <c r="B10" s="4" t="s">
        <v>56</v>
      </c>
      <c r="C10" s="5">
        <f>SUM(C9:C9)</f>
        <v>33000000</v>
      </c>
      <c r="D10" s="5">
        <f>SUM(D9:D9)</f>
        <v>33000000</v>
      </c>
      <c r="E10" s="5">
        <f>SUM(E9:E9)</f>
        <v>9548000</v>
      </c>
      <c r="F10" s="11">
        <f t="shared" si="0"/>
        <v>0.28933333333333333</v>
      </c>
    </row>
    <row r="11" spans="1:12" x14ac:dyDescent="0.25">
      <c r="C11" s="3"/>
      <c r="D11" s="3"/>
      <c r="E11" s="3"/>
      <c r="F11" s="10"/>
    </row>
    <row r="12" spans="1:12" s="8" customFormat="1" ht="15.75" x14ac:dyDescent="0.25">
      <c r="B12" s="8" t="s">
        <v>57</v>
      </c>
      <c r="C12" s="9">
        <f>C10+C8</f>
        <v>33820000</v>
      </c>
      <c r="D12" s="9">
        <f>D10+D8</f>
        <v>34391754</v>
      </c>
      <c r="E12" s="9">
        <f>E10+E8</f>
        <v>10198958</v>
      </c>
      <c r="F12" s="11">
        <f t="shared" si="0"/>
        <v>0.29655242358386258</v>
      </c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ht="15.75" x14ac:dyDescent="0.25">
      <c r="B15" s="42" t="s">
        <v>58</v>
      </c>
      <c r="C15" s="3"/>
      <c r="D15" s="3"/>
      <c r="E15" s="3"/>
    </row>
    <row r="16" spans="1:12" x14ac:dyDescent="0.25">
      <c r="C16" s="3"/>
      <c r="D16" s="3"/>
      <c r="E16" s="3"/>
    </row>
    <row r="17" spans="1:6" x14ac:dyDescent="0.25">
      <c r="A17" t="s">
        <v>214</v>
      </c>
      <c r="B17" t="s">
        <v>563</v>
      </c>
      <c r="C17" s="3">
        <v>33000000</v>
      </c>
      <c r="D17" s="3">
        <v>33000000</v>
      </c>
      <c r="E17" s="3">
        <f>6814100+2000+1357100+1374800</f>
        <v>9548000</v>
      </c>
      <c r="F17" s="10">
        <f t="shared" ref="F17" si="1">E17/D17</f>
        <v>0.28933333333333333</v>
      </c>
    </row>
    <row r="18" spans="1:6" x14ac:dyDescent="0.25">
      <c r="A18" t="s">
        <v>166</v>
      </c>
      <c r="B18" t="s">
        <v>288</v>
      </c>
      <c r="C18" s="3">
        <v>0</v>
      </c>
      <c r="D18" s="3">
        <f>450200</f>
        <v>450200</v>
      </c>
      <c r="E18" s="3"/>
      <c r="F18" s="10"/>
    </row>
    <row r="19" spans="1:6" x14ac:dyDescent="0.25">
      <c r="A19" t="s">
        <v>170</v>
      </c>
      <c r="B19" t="s">
        <v>171</v>
      </c>
      <c r="C19" s="3">
        <v>0</v>
      </c>
      <c r="D19" s="3">
        <v>121554</v>
      </c>
      <c r="E19" s="3"/>
    </row>
    <row r="20" spans="1:6" s="8" customFormat="1" ht="15.75" x14ac:dyDescent="0.25">
      <c r="B20" s="8" t="s">
        <v>131</v>
      </c>
      <c r="C20" s="9">
        <f>SUM(C17:C19)</f>
        <v>33000000</v>
      </c>
      <c r="D20" s="9">
        <f t="shared" ref="D20:E20" si="2">SUM(D17:D19)</f>
        <v>33571754</v>
      </c>
      <c r="E20" s="9">
        <f t="shared" si="2"/>
        <v>9548000</v>
      </c>
      <c r="F20" s="11">
        <f t="shared" ref="F20" si="3">E20/D20</f>
        <v>0.28440575371784266</v>
      </c>
    </row>
    <row r="21" spans="1:6" x14ac:dyDescent="0.25">
      <c r="C21" s="3"/>
      <c r="D21" s="3"/>
      <c r="E21" s="3"/>
    </row>
    <row r="22" spans="1:6" x14ac:dyDescent="0.25">
      <c r="C22" s="3"/>
      <c r="D22" s="3"/>
      <c r="E22" s="3"/>
    </row>
    <row r="23" spans="1:6" x14ac:dyDescent="0.25">
      <c r="C23" s="3"/>
      <c r="D23" s="3"/>
      <c r="E23" s="3"/>
    </row>
    <row r="24" spans="1:6" x14ac:dyDescent="0.25">
      <c r="C24" s="3"/>
      <c r="D24" s="3"/>
      <c r="E24" s="3"/>
    </row>
    <row r="25" spans="1:6" x14ac:dyDescent="0.25">
      <c r="C25" s="3"/>
      <c r="D25" s="3"/>
      <c r="E25" s="3"/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x14ac:dyDescent="0.25"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L436"/>
  <sheetViews>
    <sheetView zoomScaleNormal="100" workbookViewId="0">
      <selection activeCell="B19" sqref="B19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102</v>
      </c>
      <c r="B2" s="120" t="s">
        <v>103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267</v>
      </c>
      <c r="B4" t="s">
        <v>289</v>
      </c>
      <c r="C4" s="3">
        <v>240000</v>
      </c>
      <c r="D4" s="3">
        <v>240000</v>
      </c>
      <c r="E4" s="3">
        <v>120000</v>
      </c>
      <c r="F4" s="10">
        <f t="shared" ref="F4:F7" si="0">E4/D4</f>
        <v>0.5</v>
      </c>
    </row>
    <row r="5" spans="1:12" s="4" customFormat="1" x14ac:dyDescent="0.25">
      <c r="A5" s="4" t="s">
        <v>52</v>
      </c>
      <c r="B5" s="4" t="s">
        <v>53</v>
      </c>
      <c r="C5" s="5">
        <f>SUM(C4:C4)</f>
        <v>240000</v>
      </c>
      <c r="D5" s="5">
        <f>SUM(D4:D4)</f>
        <v>240000</v>
      </c>
      <c r="E5" s="5">
        <f>SUM(E4:E4)</f>
        <v>120000</v>
      </c>
      <c r="F5" s="11">
        <f t="shared" si="0"/>
        <v>0.5</v>
      </c>
    </row>
    <row r="6" spans="1:12" s="4" customFormat="1" x14ac:dyDescent="0.25">
      <c r="C6" s="5"/>
      <c r="D6" s="5"/>
      <c r="E6" s="5"/>
      <c r="F6" s="11"/>
    </row>
    <row r="7" spans="1:12" s="8" customFormat="1" ht="15.75" x14ac:dyDescent="0.25">
      <c r="B7" s="8" t="s">
        <v>57</v>
      </c>
      <c r="C7" s="9">
        <f>C5</f>
        <v>240000</v>
      </c>
      <c r="D7" s="9">
        <f t="shared" ref="D7:E7" si="1">D5</f>
        <v>240000</v>
      </c>
      <c r="E7" s="9">
        <f t="shared" si="1"/>
        <v>120000</v>
      </c>
      <c r="F7" s="11">
        <f t="shared" si="0"/>
        <v>0.5</v>
      </c>
    </row>
    <row r="8" spans="1:12" x14ac:dyDescent="0.25">
      <c r="C8" s="3"/>
      <c r="D8" s="3"/>
      <c r="E8" s="3"/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L465"/>
  <sheetViews>
    <sheetView topLeftCell="A10" zoomScaleNormal="100" workbookViewId="0">
      <selection activeCell="D43" sqref="D43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104</v>
      </c>
      <c r="B2" s="120" t="s">
        <v>105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</v>
      </c>
      <c r="B4" t="s">
        <v>542</v>
      </c>
      <c r="C4" s="3">
        <v>9592280</v>
      </c>
      <c r="D4" s="3">
        <f>9592280-246217</f>
        <v>9346063</v>
      </c>
      <c r="E4" s="3">
        <v>4433247</v>
      </c>
      <c r="F4" s="10">
        <f>E4/D4</f>
        <v>0.47434379588496245</v>
      </c>
    </row>
    <row r="5" spans="1:12" x14ac:dyDescent="0.25">
      <c r="A5" t="s">
        <v>426</v>
      </c>
      <c r="B5" t="s">
        <v>427</v>
      </c>
      <c r="C5" s="3">
        <v>75000</v>
      </c>
      <c r="D5" s="3">
        <v>75000</v>
      </c>
      <c r="E5" s="3"/>
      <c r="F5" s="10"/>
    </row>
    <row r="6" spans="1:12" x14ac:dyDescent="0.25">
      <c r="A6" t="s">
        <v>8</v>
      </c>
      <c r="B6" t="s">
        <v>543</v>
      </c>
      <c r="C6" s="3">
        <v>12000</v>
      </c>
      <c r="D6" s="3">
        <v>12000</v>
      </c>
      <c r="E6" s="3">
        <v>5000</v>
      </c>
      <c r="F6" s="10">
        <f t="shared" ref="F6:F30" si="0">E6/D6</f>
        <v>0.41666666666666669</v>
      </c>
    </row>
    <row r="7" spans="1:12" x14ac:dyDescent="0.25">
      <c r="B7" t="s">
        <v>381</v>
      </c>
      <c r="C7" s="3">
        <v>0</v>
      </c>
      <c r="D7" s="3">
        <v>246217</v>
      </c>
      <c r="E7" s="3">
        <v>246217</v>
      </c>
      <c r="F7" s="10"/>
    </row>
    <row r="8" spans="1:12" x14ac:dyDescent="0.25">
      <c r="B8" t="s">
        <v>544</v>
      </c>
      <c r="C8" s="3">
        <v>30000</v>
      </c>
      <c r="D8" s="3">
        <v>30000</v>
      </c>
      <c r="E8" s="3"/>
      <c r="F8" s="10">
        <f t="shared" si="0"/>
        <v>0</v>
      </c>
    </row>
    <row r="9" spans="1:12" s="4" customFormat="1" x14ac:dyDescent="0.25">
      <c r="A9" s="4" t="s">
        <v>15</v>
      </c>
      <c r="B9" s="4" t="s">
        <v>16</v>
      </c>
      <c r="C9" s="5">
        <f>SUM(C4:C8)</f>
        <v>9709280</v>
      </c>
      <c r="D9" s="5">
        <f>SUM(D4:D8)</f>
        <v>9709280</v>
      </c>
      <c r="E9" s="5">
        <f>SUM(E4:E8)</f>
        <v>4684464</v>
      </c>
      <c r="F9" s="11">
        <f t="shared" si="0"/>
        <v>0.48247285071601603</v>
      </c>
    </row>
    <row r="10" spans="1:12" s="4" customFormat="1" x14ac:dyDescent="0.25">
      <c r="A10" s="4" t="s">
        <v>17</v>
      </c>
      <c r="B10" s="4" t="s">
        <v>18</v>
      </c>
      <c r="C10" s="5">
        <v>1258306</v>
      </c>
      <c r="D10" s="5">
        <v>1258306</v>
      </c>
      <c r="E10" s="5">
        <v>608979</v>
      </c>
      <c r="F10" s="11">
        <f t="shared" si="0"/>
        <v>0.48396733385996726</v>
      </c>
    </row>
    <row r="11" spans="1:12" x14ac:dyDescent="0.25">
      <c r="A11" t="s">
        <v>290</v>
      </c>
      <c r="B11" t="s">
        <v>291</v>
      </c>
      <c r="C11" s="3">
        <v>285714</v>
      </c>
      <c r="D11" s="3">
        <v>285714</v>
      </c>
      <c r="E11" s="3"/>
      <c r="F11" s="10">
        <f t="shared" si="0"/>
        <v>0</v>
      </c>
    </row>
    <row r="12" spans="1:12" x14ac:dyDescent="0.25">
      <c r="B12" t="s">
        <v>292</v>
      </c>
      <c r="C12" s="3">
        <v>7874</v>
      </c>
      <c r="D12" s="3">
        <v>7874</v>
      </c>
      <c r="E12" s="3"/>
      <c r="F12" s="10">
        <f t="shared" si="0"/>
        <v>0</v>
      </c>
    </row>
    <row r="13" spans="1:12" x14ac:dyDescent="0.25">
      <c r="A13" t="s">
        <v>20</v>
      </c>
      <c r="B13" t="s">
        <v>21</v>
      </c>
      <c r="C13" s="3">
        <v>11811</v>
      </c>
      <c r="D13" s="3">
        <v>11811</v>
      </c>
      <c r="E13" s="3"/>
      <c r="F13" s="10">
        <f t="shared" si="0"/>
        <v>0</v>
      </c>
    </row>
    <row r="14" spans="1:12" x14ac:dyDescent="0.25">
      <c r="B14" t="s">
        <v>262</v>
      </c>
      <c r="C14" s="3">
        <v>7874</v>
      </c>
      <c r="D14" s="3">
        <v>7874</v>
      </c>
      <c r="E14" s="3"/>
      <c r="F14" s="10">
        <f t="shared" si="0"/>
        <v>0</v>
      </c>
    </row>
    <row r="15" spans="1:12" x14ac:dyDescent="0.25">
      <c r="B15" t="s">
        <v>293</v>
      </c>
      <c r="C15" s="3">
        <v>7874</v>
      </c>
      <c r="D15" s="3">
        <v>7874</v>
      </c>
      <c r="E15" s="3"/>
      <c r="F15" s="10">
        <f t="shared" si="0"/>
        <v>0</v>
      </c>
    </row>
    <row r="16" spans="1:12" x14ac:dyDescent="0.25">
      <c r="A16" t="s">
        <v>25</v>
      </c>
      <c r="B16" t="s">
        <v>294</v>
      </c>
      <c r="C16" s="3">
        <v>66667</v>
      </c>
      <c r="D16" s="3">
        <v>66667</v>
      </c>
      <c r="E16" s="3"/>
      <c r="F16" s="10">
        <f t="shared" si="0"/>
        <v>0</v>
      </c>
    </row>
    <row r="17" spans="1:6" x14ac:dyDescent="0.25">
      <c r="B17" t="s">
        <v>295</v>
      </c>
      <c r="C17" s="3">
        <v>406299</v>
      </c>
      <c r="D17" s="3">
        <v>406299</v>
      </c>
      <c r="E17" s="3">
        <f>51200</f>
        <v>51200</v>
      </c>
      <c r="F17" s="10">
        <f t="shared" si="0"/>
        <v>0.12601556981434855</v>
      </c>
    </row>
    <row r="18" spans="1:6" x14ac:dyDescent="0.25">
      <c r="B18" t="s">
        <v>296</v>
      </c>
      <c r="C18" s="3">
        <v>118110</v>
      </c>
      <c r="D18" s="3">
        <v>118110</v>
      </c>
      <c r="E18" s="3"/>
      <c r="F18" s="10">
        <f t="shared" si="0"/>
        <v>0</v>
      </c>
    </row>
    <row r="19" spans="1:6" x14ac:dyDescent="0.25">
      <c r="A19" t="s">
        <v>28</v>
      </c>
      <c r="B19" t="s">
        <v>297</v>
      </c>
      <c r="C19" s="3">
        <v>0</v>
      </c>
      <c r="D19" s="3">
        <v>0</v>
      </c>
      <c r="E19" s="3"/>
      <c r="F19" s="10"/>
    </row>
    <row r="20" spans="1:6" x14ac:dyDescent="0.25">
      <c r="A20" t="s">
        <v>29</v>
      </c>
      <c r="B20" t="s">
        <v>298</v>
      </c>
      <c r="C20" s="3">
        <v>15748</v>
      </c>
      <c r="D20" s="3">
        <v>15748</v>
      </c>
      <c r="E20" s="3"/>
      <c r="F20" s="10">
        <f t="shared" si="0"/>
        <v>0</v>
      </c>
    </row>
    <row r="21" spans="1:6" x14ac:dyDescent="0.25">
      <c r="A21" t="s">
        <v>30</v>
      </c>
      <c r="B21" t="s">
        <v>299</v>
      </c>
      <c r="C21" s="3">
        <v>6000</v>
      </c>
      <c r="D21" s="3">
        <v>6000</v>
      </c>
      <c r="E21" s="3"/>
      <c r="F21" s="10">
        <f t="shared" si="0"/>
        <v>0</v>
      </c>
    </row>
    <row r="22" spans="1:6" x14ac:dyDescent="0.25">
      <c r="A22" t="s">
        <v>36</v>
      </c>
      <c r="B22" t="s">
        <v>300</v>
      </c>
      <c r="C22" s="3">
        <v>0</v>
      </c>
      <c r="D22" s="3">
        <v>0</v>
      </c>
      <c r="E22" s="3"/>
      <c r="F22" s="10"/>
    </row>
    <row r="23" spans="1:6" x14ac:dyDescent="0.25">
      <c r="B23" t="s">
        <v>301</v>
      </c>
      <c r="C23" s="3">
        <v>23622</v>
      </c>
      <c r="D23" s="3">
        <v>23622</v>
      </c>
      <c r="E23" s="3">
        <v>4500</v>
      </c>
      <c r="F23" s="10">
        <f t="shared" si="0"/>
        <v>0.190500381000762</v>
      </c>
    </row>
    <row r="24" spans="1:6" x14ac:dyDescent="0.25">
      <c r="A24" t="s">
        <v>42</v>
      </c>
      <c r="B24" t="s">
        <v>43</v>
      </c>
      <c r="C24" s="3">
        <v>50000</v>
      </c>
      <c r="D24" s="3">
        <v>50000</v>
      </c>
      <c r="E24" s="3"/>
      <c r="F24" s="10">
        <f t="shared" si="0"/>
        <v>0</v>
      </c>
    </row>
    <row r="25" spans="1:6" x14ac:dyDescent="0.25">
      <c r="A25" t="s">
        <v>44</v>
      </c>
      <c r="B25" t="s">
        <v>45</v>
      </c>
      <c r="C25" s="3">
        <v>179407</v>
      </c>
      <c r="D25" s="3">
        <v>179407</v>
      </c>
      <c r="E25" s="3">
        <f>1215+13824</f>
        <v>15039</v>
      </c>
      <c r="F25" s="10">
        <f t="shared" si="0"/>
        <v>8.3826160629183924E-2</v>
      </c>
    </row>
    <row r="26" spans="1:6" s="4" customFormat="1" x14ac:dyDescent="0.25">
      <c r="A26" s="4" t="s">
        <v>52</v>
      </c>
      <c r="B26" s="4" t="s">
        <v>53</v>
      </c>
      <c r="C26" s="5">
        <f>SUM(C11:C25)</f>
        <v>1187000</v>
      </c>
      <c r="D26" s="5">
        <f>SUM(D11:D25)</f>
        <v>1187000</v>
      </c>
      <c r="E26" s="5">
        <f>SUM(E11:E25)</f>
        <v>70739</v>
      </c>
      <c r="F26" s="11">
        <f t="shared" si="0"/>
        <v>5.9594776748104462E-2</v>
      </c>
    </row>
    <row r="27" spans="1:6" x14ac:dyDescent="0.25">
      <c r="C27" s="3">
        <v>0</v>
      </c>
      <c r="D27" s="3">
        <v>0</v>
      </c>
      <c r="E27" s="3"/>
      <c r="F27" s="10"/>
    </row>
    <row r="28" spans="1:6" s="4" customFormat="1" x14ac:dyDescent="0.25">
      <c r="A28" s="4" t="s">
        <v>232</v>
      </c>
      <c r="B28" s="4" t="s">
        <v>233</v>
      </c>
      <c r="C28" s="5">
        <f>SUM(C27:C27)</f>
        <v>0</v>
      </c>
      <c r="D28" s="5">
        <f>SUM(D27:D27)</f>
        <v>0</v>
      </c>
      <c r="E28" s="5">
        <f>SUM(E27:E27)</f>
        <v>0</v>
      </c>
      <c r="F28" s="11"/>
    </row>
    <row r="29" spans="1:6" x14ac:dyDescent="0.25">
      <c r="C29" s="3"/>
      <c r="D29" s="3"/>
      <c r="E29" s="3"/>
      <c r="F29" s="10"/>
    </row>
    <row r="30" spans="1:6" s="8" customFormat="1" ht="15.75" x14ac:dyDescent="0.25">
      <c r="B30" s="8" t="s">
        <v>57</v>
      </c>
      <c r="C30" s="9">
        <f>C28+C26+C10+C9</f>
        <v>12154586</v>
      </c>
      <c r="D30" s="9">
        <f>D28+D26+D10+D9</f>
        <v>12154586</v>
      </c>
      <c r="E30" s="9">
        <f>E28+E26+E10+E9</f>
        <v>5364182</v>
      </c>
      <c r="F30" s="11">
        <f t="shared" si="0"/>
        <v>0.44132988157720882</v>
      </c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1:6" ht="15.75" x14ac:dyDescent="0.25">
      <c r="B33" s="42" t="s">
        <v>58</v>
      </c>
      <c r="C33" s="3"/>
      <c r="D33" s="3"/>
      <c r="E33" s="3"/>
    </row>
    <row r="34" spans="1:6" x14ac:dyDescent="0.25">
      <c r="C34" s="3"/>
      <c r="D34" s="3"/>
      <c r="E34" s="3"/>
    </row>
    <row r="35" spans="1:6" x14ac:dyDescent="0.25">
      <c r="A35" t="s">
        <v>214</v>
      </c>
      <c r="B35" t="s">
        <v>302</v>
      </c>
      <c r="C35" s="3">
        <v>5520000</v>
      </c>
      <c r="D35" s="3">
        <v>5520000</v>
      </c>
      <c r="E35" s="3">
        <v>2669400</v>
      </c>
      <c r="F35" s="10">
        <f t="shared" ref="F35:F36" si="1">E35/D35</f>
        <v>0.48358695652173911</v>
      </c>
    </row>
    <row r="36" spans="1:6" ht="30" x14ac:dyDescent="0.25">
      <c r="B36" s="43" t="s">
        <v>303</v>
      </c>
      <c r="C36" s="3">
        <v>5758800</v>
      </c>
      <c r="D36" s="3">
        <v>5758800</v>
      </c>
      <c r="E36" s="3">
        <v>2841000</v>
      </c>
      <c r="F36" s="10">
        <f t="shared" si="1"/>
        <v>0.49333194415503229</v>
      </c>
    </row>
    <row r="37" spans="1:6" x14ac:dyDescent="0.25">
      <c r="C37" s="3"/>
      <c r="D37" s="3"/>
      <c r="E37" s="3"/>
    </row>
    <row r="38" spans="1:6" s="8" customFormat="1" ht="15.75" x14ac:dyDescent="0.25">
      <c r="B38" s="8" t="s">
        <v>131</v>
      </c>
      <c r="C38" s="9">
        <f>SUM(C35:C37)</f>
        <v>11278800</v>
      </c>
      <c r="D38" s="9">
        <f t="shared" ref="D38:E38" si="2">SUM(D35:D37)</f>
        <v>11278800</v>
      </c>
      <c r="E38" s="9">
        <f t="shared" si="2"/>
        <v>5510400</v>
      </c>
      <c r="F38" s="11">
        <f t="shared" ref="F38" si="3">E38/D38</f>
        <v>0.48856261304394083</v>
      </c>
    </row>
    <row r="39" spans="1:6" x14ac:dyDescent="0.25">
      <c r="C39" s="3"/>
      <c r="D39" s="3"/>
      <c r="E39" s="3"/>
    </row>
    <row r="40" spans="1:6" x14ac:dyDescent="0.25">
      <c r="C40" s="3"/>
      <c r="D40" s="3"/>
      <c r="E40" s="3"/>
    </row>
    <row r="41" spans="1:6" x14ac:dyDescent="0.25">
      <c r="C41" s="3"/>
      <c r="D41" s="3"/>
      <c r="E41" s="3"/>
    </row>
    <row r="42" spans="1:6" x14ac:dyDescent="0.25">
      <c r="C42" s="3"/>
      <c r="D42" s="3"/>
      <c r="E42" s="3"/>
    </row>
    <row r="43" spans="1:6" x14ac:dyDescent="0.25">
      <c r="C43" s="3"/>
      <c r="D43" s="3"/>
      <c r="E43" s="3"/>
    </row>
    <row r="44" spans="1:6" x14ac:dyDescent="0.25">
      <c r="C44" s="3"/>
      <c r="D44" s="3"/>
      <c r="E44" s="3"/>
    </row>
    <row r="45" spans="1:6" x14ac:dyDescent="0.25">
      <c r="C45" s="3"/>
      <c r="D45" s="3"/>
      <c r="E45" s="3"/>
    </row>
    <row r="46" spans="1:6" x14ac:dyDescent="0.25">
      <c r="C46" s="3"/>
      <c r="D46" s="3"/>
      <c r="E46" s="3"/>
    </row>
    <row r="47" spans="1:6" x14ac:dyDescent="0.25">
      <c r="C47" s="3"/>
      <c r="D47" s="3"/>
      <c r="E47" s="3"/>
    </row>
    <row r="48" spans="1:6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L436"/>
  <sheetViews>
    <sheetView zoomScaleNormal="100" workbookViewId="0">
      <selection activeCell="E4" sqref="E4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106</v>
      </c>
      <c r="B2" s="120" t="s">
        <v>107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B4" t="s">
        <v>304</v>
      </c>
      <c r="C4" s="3">
        <v>23858000</v>
      </c>
      <c r="D4" s="3">
        <v>23858000</v>
      </c>
      <c r="E4" s="3">
        <f>1988167+1988166+7952667</f>
        <v>11929000</v>
      </c>
      <c r="F4" s="10">
        <f t="shared" ref="F4:F7" si="0">E4/D4</f>
        <v>0.5</v>
      </c>
    </row>
    <row r="5" spans="1:12" s="4" customFormat="1" x14ac:dyDescent="0.25">
      <c r="A5" s="4" t="s">
        <v>55</v>
      </c>
      <c r="B5" s="4" t="s">
        <v>56</v>
      </c>
      <c r="C5" s="5">
        <f>SUM(C4:C4)</f>
        <v>23858000</v>
      </c>
      <c r="D5" s="5">
        <f>SUM(D4:D4)</f>
        <v>23858000</v>
      </c>
      <c r="E5" s="5">
        <f>SUM(E4:E4)</f>
        <v>11929000</v>
      </c>
      <c r="F5" s="11">
        <f t="shared" si="0"/>
        <v>0.5</v>
      </c>
    </row>
    <row r="6" spans="1:12" x14ac:dyDescent="0.25">
      <c r="C6" s="3"/>
      <c r="D6" s="3"/>
      <c r="E6" s="3"/>
      <c r="F6" s="10"/>
    </row>
    <row r="7" spans="1:12" s="8" customFormat="1" ht="15.75" x14ac:dyDescent="0.25">
      <c r="B7" s="8" t="s">
        <v>57</v>
      </c>
      <c r="C7" s="9">
        <f>C5</f>
        <v>23858000</v>
      </c>
      <c r="D7" s="9">
        <f t="shared" ref="D7:E7" si="1">D5</f>
        <v>23858000</v>
      </c>
      <c r="E7" s="9">
        <f t="shared" si="1"/>
        <v>11929000</v>
      </c>
      <c r="F7" s="11">
        <f t="shared" si="0"/>
        <v>0.5</v>
      </c>
    </row>
    <row r="8" spans="1:12" x14ac:dyDescent="0.25">
      <c r="C8" s="3"/>
      <c r="D8" s="3"/>
      <c r="E8" s="3"/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1:L439"/>
  <sheetViews>
    <sheetView zoomScaleNormal="100" workbookViewId="0">
      <selection activeCell="E8" sqref="E8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108</v>
      </c>
      <c r="B2" s="120" t="s">
        <v>109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138</v>
      </c>
      <c r="B4" t="s">
        <v>305</v>
      </c>
      <c r="C4" s="3">
        <v>15000</v>
      </c>
      <c r="D4" s="3">
        <v>15000</v>
      </c>
      <c r="E4" s="3">
        <v>19059</v>
      </c>
      <c r="F4" s="10">
        <f t="shared" ref="F4:F11" si="0">E4/D4</f>
        <v>1.2706</v>
      </c>
    </row>
    <row r="5" spans="1:12" x14ac:dyDescent="0.25">
      <c r="A5" t="s">
        <v>140</v>
      </c>
      <c r="B5" t="s">
        <v>306</v>
      </c>
      <c r="C5" s="3">
        <v>5000</v>
      </c>
      <c r="D5" s="3">
        <v>5000</v>
      </c>
      <c r="E5" s="3">
        <v>12312</v>
      </c>
      <c r="F5" s="10">
        <f t="shared" si="0"/>
        <v>2.4624000000000001</v>
      </c>
    </row>
    <row r="6" spans="1:12" x14ac:dyDescent="0.25">
      <c r="A6" t="s">
        <v>142</v>
      </c>
      <c r="B6" t="s">
        <v>307</v>
      </c>
      <c r="C6" s="3">
        <v>25000</v>
      </c>
      <c r="D6" s="3">
        <v>25000</v>
      </c>
      <c r="E6" s="3">
        <v>10192</v>
      </c>
      <c r="F6" s="10">
        <f t="shared" si="0"/>
        <v>0.40767999999999999</v>
      </c>
    </row>
    <row r="7" spans="1:12" x14ac:dyDescent="0.25">
      <c r="A7" t="s">
        <v>36</v>
      </c>
      <c r="B7" t="s">
        <v>308</v>
      </c>
      <c r="C7" s="3">
        <v>15000</v>
      </c>
      <c r="D7" s="3">
        <v>15000</v>
      </c>
      <c r="E7" s="3">
        <v>9500</v>
      </c>
      <c r="F7" s="10">
        <f t="shared" si="0"/>
        <v>0.6333333333333333</v>
      </c>
    </row>
    <row r="8" spans="1:12" x14ac:dyDescent="0.25">
      <c r="A8" t="s">
        <v>44</v>
      </c>
      <c r="B8" t="s">
        <v>45</v>
      </c>
      <c r="C8" s="3">
        <v>16200</v>
      </c>
      <c r="D8" s="3">
        <v>16200</v>
      </c>
      <c r="E8" s="3">
        <f>2565+2752+8110</f>
        <v>13427</v>
      </c>
      <c r="F8" s="10">
        <f t="shared" si="0"/>
        <v>0.82882716049382721</v>
      </c>
    </row>
    <row r="9" spans="1:12" s="4" customFormat="1" x14ac:dyDescent="0.25">
      <c r="A9" s="4" t="s">
        <v>52</v>
      </c>
      <c r="B9" s="4" t="s">
        <v>53</v>
      </c>
      <c r="C9" s="5">
        <f>SUM(C4:C8)</f>
        <v>76200</v>
      </c>
      <c r="D9" s="5">
        <f>SUM(D4:D8)</f>
        <v>76200</v>
      </c>
      <c r="E9" s="5">
        <f>SUM(E4:E8)</f>
        <v>64490</v>
      </c>
      <c r="F9" s="11">
        <f t="shared" si="0"/>
        <v>0.84632545931758529</v>
      </c>
    </row>
    <row r="10" spans="1:12" x14ac:dyDescent="0.25">
      <c r="C10" s="3"/>
      <c r="D10" s="3"/>
      <c r="E10" s="3"/>
      <c r="F10" s="10"/>
    </row>
    <row r="11" spans="1:12" s="8" customFormat="1" ht="15.75" x14ac:dyDescent="0.25">
      <c r="B11" s="8" t="s">
        <v>57</v>
      </c>
      <c r="C11" s="9">
        <f>C9</f>
        <v>76200</v>
      </c>
      <c r="D11" s="9">
        <f t="shared" ref="D11:E11" si="1">D9</f>
        <v>76200</v>
      </c>
      <c r="E11" s="9">
        <f t="shared" si="1"/>
        <v>64490</v>
      </c>
      <c r="F11" s="11">
        <f t="shared" si="0"/>
        <v>0.84632545931758529</v>
      </c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1:L460"/>
  <sheetViews>
    <sheetView zoomScaleNormal="100" workbookViewId="0">
      <selection activeCell="E32" sqref="E32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110</v>
      </c>
      <c r="B2" s="120" t="s">
        <v>111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</v>
      </c>
      <c r="B4" t="s">
        <v>545</v>
      </c>
      <c r="C4" s="3">
        <v>4449900</v>
      </c>
      <c r="D4" s="3">
        <f>4449900-55491</f>
        <v>4394409</v>
      </c>
      <c r="E4" s="3">
        <v>2206523</v>
      </c>
      <c r="F4" s="10">
        <f>E4/D4</f>
        <v>0.50212053543491286</v>
      </c>
    </row>
    <row r="5" spans="1:12" x14ac:dyDescent="0.25">
      <c r="A5" t="s">
        <v>426</v>
      </c>
      <c r="B5" t="s">
        <v>427</v>
      </c>
      <c r="C5" s="3">
        <v>75000</v>
      </c>
      <c r="D5" s="3">
        <v>75000</v>
      </c>
      <c r="E5" s="3"/>
      <c r="F5" s="10"/>
    </row>
    <row r="6" spans="1:12" x14ac:dyDescent="0.25">
      <c r="A6" t="s">
        <v>8</v>
      </c>
      <c r="B6" t="s">
        <v>309</v>
      </c>
      <c r="C6" s="3">
        <v>12000</v>
      </c>
      <c r="D6" s="3">
        <v>12000</v>
      </c>
      <c r="E6" s="3">
        <v>5000</v>
      </c>
      <c r="F6" s="10">
        <f t="shared" ref="F6:F25" si="0">E6/D6</f>
        <v>0.41666666666666669</v>
      </c>
    </row>
    <row r="7" spans="1:12" x14ac:dyDescent="0.25">
      <c r="B7" t="s">
        <v>381</v>
      </c>
      <c r="C7" s="3">
        <v>0</v>
      </c>
      <c r="D7" s="3">
        <f>55491</f>
        <v>55491</v>
      </c>
      <c r="E7" s="3">
        <v>55898</v>
      </c>
      <c r="F7" s="10"/>
    </row>
    <row r="8" spans="1:12" s="4" customFormat="1" x14ac:dyDescent="0.25">
      <c r="A8" s="4" t="s">
        <v>15</v>
      </c>
      <c r="B8" s="4" t="s">
        <v>16</v>
      </c>
      <c r="C8" s="5">
        <f>SUM(C4:C7)</f>
        <v>4536900</v>
      </c>
      <c r="D8" s="5">
        <f>SUM(D4:D7)</f>
        <v>4536900</v>
      </c>
      <c r="E8" s="5">
        <f>SUM(E4:E7)</f>
        <v>2267421</v>
      </c>
      <c r="F8" s="11">
        <f t="shared" si="0"/>
        <v>0.49977319314950736</v>
      </c>
    </row>
    <row r="9" spans="1:12" s="4" customFormat="1" x14ac:dyDescent="0.25">
      <c r="A9" s="4" t="s">
        <v>17</v>
      </c>
      <c r="B9" s="4" t="s">
        <v>18</v>
      </c>
      <c r="C9" s="5">
        <v>589797</v>
      </c>
      <c r="D9" s="5">
        <v>589797</v>
      </c>
      <c r="E9" s="5">
        <v>276838</v>
      </c>
      <c r="F9" s="11">
        <f t="shared" si="0"/>
        <v>0.46937844716063326</v>
      </c>
    </row>
    <row r="10" spans="1:12" x14ac:dyDescent="0.25">
      <c r="A10" t="s">
        <v>20</v>
      </c>
      <c r="B10" t="s">
        <v>21</v>
      </c>
      <c r="C10" s="3">
        <v>60000</v>
      </c>
      <c r="D10" s="3">
        <v>60000</v>
      </c>
      <c r="E10" s="3"/>
      <c r="F10" s="10">
        <f t="shared" si="0"/>
        <v>0</v>
      </c>
    </row>
    <row r="11" spans="1:12" x14ac:dyDescent="0.25">
      <c r="B11" t="s">
        <v>310</v>
      </c>
      <c r="C11" s="3">
        <v>25000</v>
      </c>
      <c r="D11" s="3">
        <v>25000</v>
      </c>
      <c r="E11" s="3"/>
      <c r="F11" s="10">
        <f t="shared" si="0"/>
        <v>0</v>
      </c>
    </row>
    <row r="12" spans="1:12" x14ac:dyDescent="0.25">
      <c r="B12" t="s">
        <v>546</v>
      </c>
      <c r="C12" s="3">
        <v>20000</v>
      </c>
      <c r="D12" s="3">
        <v>20000</v>
      </c>
      <c r="E12" s="3"/>
      <c r="F12" s="10"/>
    </row>
    <row r="13" spans="1:12" x14ac:dyDescent="0.25">
      <c r="B13" t="s">
        <v>311</v>
      </c>
      <c r="C13" s="3">
        <v>100000</v>
      </c>
      <c r="D13" s="3">
        <v>100000</v>
      </c>
      <c r="E13" s="3"/>
      <c r="F13" s="10">
        <f t="shared" si="0"/>
        <v>0</v>
      </c>
    </row>
    <row r="14" spans="1:12" x14ac:dyDescent="0.25">
      <c r="A14" t="s">
        <v>25</v>
      </c>
      <c r="B14" t="s">
        <v>312</v>
      </c>
      <c r="C14" s="3">
        <v>80000</v>
      </c>
      <c r="D14" s="3">
        <v>80000</v>
      </c>
      <c r="E14" s="3">
        <f>19455+19455</f>
        <v>38910</v>
      </c>
      <c r="F14" s="10">
        <f t="shared" si="0"/>
        <v>0.486375</v>
      </c>
    </row>
    <row r="15" spans="1:12" x14ac:dyDescent="0.25">
      <c r="A15" t="s">
        <v>313</v>
      </c>
      <c r="B15" t="s">
        <v>314</v>
      </c>
      <c r="C15" s="3">
        <v>76632247</v>
      </c>
      <c r="D15" s="3">
        <v>76632247</v>
      </c>
      <c r="E15" s="3">
        <f>43710084</f>
        <v>43710084</v>
      </c>
      <c r="F15" s="10">
        <f t="shared" si="0"/>
        <v>0.57038760719100412</v>
      </c>
    </row>
    <row r="16" spans="1:12" x14ac:dyDescent="0.25">
      <c r="A16" t="s">
        <v>30</v>
      </c>
      <c r="B16" t="s">
        <v>299</v>
      </c>
      <c r="C16" s="3">
        <v>4000</v>
      </c>
      <c r="D16" s="3">
        <v>4000</v>
      </c>
      <c r="E16" s="3"/>
      <c r="F16" s="10">
        <f t="shared" si="0"/>
        <v>0</v>
      </c>
    </row>
    <row r="17" spans="1:6" x14ac:dyDescent="0.25">
      <c r="A17" t="s">
        <v>36</v>
      </c>
      <c r="B17" t="s">
        <v>37</v>
      </c>
      <c r="C17" s="3">
        <v>480000</v>
      </c>
      <c r="D17" s="3">
        <v>480000</v>
      </c>
      <c r="E17" s="3">
        <f>171318+78970</f>
        <v>250288</v>
      </c>
      <c r="F17" s="10">
        <f t="shared" si="0"/>
        <v>0.5214333333333333</v>
      </c>
    </row>
    <row r="18" spans="1:6" x14ac:dyDescent="0.25">
      <c r="B18" t="s">
        <v>315</v>
      </c>
      <c r="C18" s="3">
        <v>0</v>
      </c>
      <c r="D18" s="3">
        <v>0</v>
      </c>
      <c r="E18" s="3"/>
      <c r="F18" s="10"/>
    </row>
    <row r="19" spans="1:6" x14ac:dyDescent="0.25">
      <c r="A19" t="s">
        <v>44</v>
      </c>
      <c r="B19" t="s">
        <v>45</v>
      </c>
      <c r="C19" s="3">
        <v>20746867</v>
      </c>
      <c r="D19" s="3">
        <v>20746867</v>
      </c>
      <c r="E19" s="3">
        <f>11801723</f>
        <v>11801723</v>
      </c>
      <c r="F19" s="10">
        <f>E19/D19</f>
        <v>0.56884362347336592</v>
      </c>
    </row>
    <row r="20" spans="1:6" x14ac:dyDescent="0.25">
      <c r="A20" t="s">
        <v>48</v>
      </c>
      <c r="B20" t="s">
        <v>316</v>
      </c>
      <c r="C20" s="3">
        <v>3000</v>
      </c>
      <c r="D20" s="3">
        <v>3000</v>
      </c>
      <c r="E20" s="3"/>
      <c r="F20" s="10">
        <f t="shared" si="0"/>
        <v>0</v>
      </c>
    </row>
    <row r="21" spans="1:6" s="4" customFormat="1" x14ac:dyDescent="0.25">
      <c r="A21" s="4" t="s">
        <v>52</v>
      </c>
      <c r="B21" s="4" t="s">
        <v>53</v>
      </c>
      <c r="C21" s="5">
        <f>SUM(C10:C20)</f>
        <v>98151114</v>
      </c>
      <c r="D21" s="5">
        <f>SUM(D10:D20)</f>
        <v>98151114</v>
      </c>
      <c r="E21" s="5">
        <f>SUM(E10:E20)</f>
        <v>55801005</v>
      </c>
      <c r="F21" s="11">
        <f t="shared" si="0"/>
        <v>0.56852136186656022</v>
      </c>
    </row>
    <row r="22" spans="1:6" x14ac:dyDescent="0.25">
      <c r="A22" t="s">
        <v>206</v>
      </c>
      <c r="C22" s="3">
        <v>0</v>
      </c>
      <c r="D22" s="3">
        <v>0</v>
      </c>
      <c r="E22" s="3"/>
      <c r="F22" s="10"/>
    </row>
    <row r="23" spans="1:6" s="4" customFormat="1" x14ac:dyDescent="0.25">
      <c r="A23" s="4" t="s">
        <v>55</v>
      </c>
      <c r="B23" s="4" t="s">
        <v>420</v>
      </c>
      <c r="C23" s="5">
        <f>SUM(C22)</f>
        <v>0</v>
      </c>
      <c r="D23" s="5">
        <f>SUM(D22)</f>
        <v>0</v>
      </c>
      <c r="E23" s="5">
        <f t="shared" ref="E23" si="1">SUM(E22)</f>
        <v>0</v>
      </c>
      <c r="F23" s="11"/>
    </row>
    <row r="24" spans="1:6" x14ac:dyDescent="0.25">
      <c r="C24" s="3"/>
      <c r="D24" s="3"/>
      <c r="E24" s="3"/>
      <c r="F24" s="10"/>
    </row>
    <row r="25" spans="1:6" s="8" customFormat="1" ht="15.75" x14ac:dyDescent="0.25">
      <c r="B25" s="8" t="s">
        <v>57</v>
      </c>
      <c r="C25" s="9">
        <f>C21+C9+C23+C8</f>
        <v>103277811</v>
      </c>
      <c r="D25" s="9">
        <f t="shared" ref="D25:E25" si="2">D21+D9+D23+D8</f>
        <v>103277811</v>
      </c>
      <c r="E25" s="9">
        <f t="shared" si="2"/>
        <v>58345264</v>
      </c>
      <c r="F25" s="11">
        <f t="shared" si="0"/>
        <v>0.56493513403377615</v>
      </c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ht="15.75" x14ac:dyDescent="0.25">
      <c r="B28" s="42" t="s">
        <v>58</v>
      </c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A30" t="s">
        <v>317</v>
      </c>
      <c r="B30" t="s">
        <v>318</v>
      </c>
      <c r="C30" s="3">
        <v>9563344</v>
      </c>
      <c r="D30" s="3">
        <v>9563344</v>
      </c>
      <c r="E30" s="3">
        <v>5256848</v>
      </c>
      <c r="F30" s="10">
        <f t="shared" ref="F30:F31" si="3">E30/D30</f>
        <v>0.5496872223774445</v>
      </c>
    </row>
    <row r="31" spans="1:6" x14ac:dyDescent="0.25">
      <c r="A31" t="s">
        <v>170</v>
      </c>
      <c r="B31" s="43" t="s">
        <v>171</v>
      </c>
      <c r="C31" s="3">
        <v>2582103</v>
      </c>
      <c r="D31" s="3">
        <v>2582103</v>
      </c>
      <c r="E31" s="3">
        <v>1419284</v>
      </c>
      <c r="F31" s="10">
        <f t="shared" si="3"/>
        <v>0.54966203904336897</v>
      </c>
    </row>
    <row r="32" spans="1:6" x14ac:dyDescent="0.25">
      <c r="A32" t="s">
        <v>129</v>
      </c>
      <c r="B32" t="s">
        <v>215</v>
      </c>
      <c r="C32" s="3"/>
      <c r="D32" s="3"/>
      <c r="E32" s="3"/>
    </row>
    <row r="33" spans="2:6" s="8" customFormat="1" ht="15.75" x14ac:dyDescent="0.25">
      <c r="B33" s="8" t="s">
        <v>131</v>
      </c>
      <c r="C33" s="9">
        <f>SUM(C30:C32)</f>
        <v>12145447</v>
      </c>
      <c r="D33" s="9">
        <f t="shared" ref="D33:E33" si="4">SUM(D30:D32)</f>
        <v>12145447</v>
      </c>
      <c r="E33" s="9">
        <f t="shared" si="4"/>
        <v>6676132</v>
      </c>
      <c r="F33" s="11">
        <f t="shared" ref="F33" si="5">E33/D33</f>
        <v>0.54968186844008293</v>
      </c>
    </row>
    <row r="34" spans="2:6" x14ac:dyDescent="0.25">
      <c r="C34" s="3"/>
      <c r="D34" s="3"/>
      <c r="E34" s="3"/>
    </row>
    <row r="35" spans="2:6" x14ac:dyDescent="0.25">
      <c r="C35" s="3"/>
      <c r="D35" s="3"/>
      <c r="E35" s="3"/>
    </row>
    <row r="36" spans="2:6" x14ac:dyDescent="0.25">
      <c r="C36" s="3"/>
      <c r="D36" s="3"/>
      <c r="E36" s="3"/>
    </row>
    <row r="37" spans="2:6" x14ac:dyDescent="0.25">
      <c r="C37" s="3"/>
      <c r="D37" s="3"/>
      <c r="E37" s="3"/>
    </row>
    <row r="38" spans="2:6" x14ac:dyDescent="0.25">
      <c r="C38" s="3"/>
      <c r="D38" s="3"/>
      <c r="E38" s="3"/>
    </row>
    <row r="39" spans="2:6" x14ac:dyDescent="0.25">
      <c r="C39" s="3"/>
      <c r="D39" s="3"/>
      <c r="E39" s="3"/>
    </row>
    <row r="40" spans="2:6" x14ac:dyDescent="0.25">
      <c r="C40" s="3"/>
      <c r="D40" s="3"/>
      <c r="E40" s="3"/>
    </row>
    <row r="41" spans="2:6" x14ac:dyDescent="0.25">
      <c r="C41" s="3"/>
      <c r="D41" s="3"/>
      <c r="E41" s="3"/>
    </row>
    <row r="42" spans="2:6" x14ac:dyDescent="0.25">
      <c r="C42" s="3"/>
      <c r="D42" s="3"/>
      <c r="E42" s="3"/>
    </row>
    <row r="43" spans="2:6" x14ac:dyDescent="0.25">
      <c r="C43" s="3"/>
      <c r="D43" s="3"/>
      <c r="E43" s="3"/>
    </row>
    <row r="44" spans="2:6" x14ac:dyDescent="0.25">
      <c r="C44" s="3"/>
      <c r="D44" s="3"/>
      <c r="E44" s="3"/>
    </row>
    <row r="45" spans="2:6" x14ac:dyDescent="0.25">
      <c r="C45" s="3"/>
      <c r="D45" s="3"/>
      <c r="E45" s="3"/>
    </row>
    <row r="46" spans="2:6" x14ac:dyDescent="0.25">
      <c r="C46" s="3"/>
      <c r="D46" s="3"/>
      <c r="E46" s="3"/>
    </row>
    <row r="47" spans="2:6" x14ac:dyDescent="0.25">
      <c r="C47" s="3"/>
      <c r="D47" s="3"/>
      <c r="E47" s="3"/>
    </row>
    <row r="48" spans="2:6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1:L443"/>
  <sheetViews>
    <sheetView zoomScaleNormal="100" workbookViewId="0">
      <selection activeCell="D18" sqref="D18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112</v>
      </c>
      <c r="B2" s="120" t="s">
        <v>113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30" x14ac:dyDescent="0.25">
      <c r="A4" t="s">
        <v>36</v>
      </c>
      <c r="B4" s="43" t="s">
        <v>319</v>
      </c>
      <c r="C4" s="3">
        <v>420000</v>
      </c>
      <c r="D4" s="3">
        <v>420000</v>
      </c>
      <c r="E4" s="3">
        <v>185400</v>
      </c>
      <c r="F4" s="10">
        <f t="shared" ref="F4:F9" si="0">E4/D4</f>
        <v>0.44142857142857145</v>
      </c>
    </row>
    <row r="5" spans="1:12" s="4" customFormat="1" x14ac:dyDescent="0.25">
      <c r="A5" s="4" t="s">
        <v>52</v>
      </c>
      <c r="B5" s="4" t="s">
        <v>53</v>
      </c>
      <c r="C5" s="5">
        <f>SUM(C4:C4)</f>
        <v>420000</v>
      </c>
      <c r="D5" s="5">
        <f>SUM(D4:D4)</f>
        <v>420000</v>
      </c>
      <c r="E5" s="5">
        <f>SUM(E4:E4)</f>
        <v>185400</v>
      </c>
      <c r="F5" s="11">
        <f t="shared" si="0"/>
        <v>0.44142857142857145</v>
      </c>
    </row>
    <row r="6" spans="1:12" ht="45" x14ac:dyDescent="0.25">
      <c r="A6" t="s">
        <v>206</v>
      </c>
      <c r="B6" s="43" t="s">
        <v>320</v>
      </c>
      <c r="C6" s="3">
        <v>15115814</v>
      </c>
      <c r="D6" s="3">
        <v>15115814</v>
      </c>
      <c r="E6" s="3"/>
      <c r="F6" s="10">
        <f t="shared" si="0"/>
        <v>0</v>
      </c>
    </row>
    <row r="7" spans="1:12" s="4" customFormat="1" x14ac:dyDescent="0.25">
      <c r="A7" s="4" t="s">
        <v>55</v>
      </c>
      <c r="B7" s="4" t="s">
        <v>56</v>
      </c>
      <c r="C7" s="5">
        <f>SUM(C6:C6)</f>
        <v>15115814</v>
      </c>
      <c r="D7" s="5">
        <f>SUM(D6:D6)</f>
        <v>15115814</v>
      </c>
      <c r="E7" s="5">
        <f>SUM(E6:E6)</f>
        <v>0</v>
      </c>
      <c r="F7" s="11">
        <f t="shared" si="0"/>
        <v>0</v>
      </c>
    </row>
    <row r="8" spans="1:12" x14ac:dyDescent="0.25">
      <c r="C8" s="3"/>
      <c r="D8" s="3"/>
      <c r="E8" s="3"/>
      <c r="F8" s="10"/>
    </row>
    <row r="9" spans="1:12" s="8" customFormat="1" ht="15.75" x14ac:dyDescent="0.25">
      <c r="B9" s="8" t="s">
        <v>57</v>
      </c>
      <c r="C9" s="9">
        <f>C7+C5</f>
        <v>15535814</v>
      </c>
      <c r="D9" s="9">
        <f t="shared" ref="D9:E9" si="1">D7+D5</f>
        <v>15535814</v>
      </c>
      <c r="E9" s="9">
        <f t="shared" si="1"/>
        <v>185400</v>
      </c>
      <c r="F9" s="11">
        <f t="shared" si="0"/>
        <v>1.1933716508191975E-2</v>
      </c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ht="15.75" x14ac:dyDescent="0.25">
      <c r="B12" s="42" t="s">
        <v>58</v>
      </c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A14" t="s">
        <v>129</v>
      </c>
      <c r="B14" t="s">
        <v>612</v>
      </c>
      <c r="C14" s="3">
        <v>0</v>
      </c>
      <c r="D14" s="3">
        <v>273988</v>
      </c>
      <c r="E14" s="3">
        <v>273988</v>
      </c>
      <c r="F14" s="10">
        <f t="shared" ref="F14:F16" si="2">E14/D14</f>
        <v>1</v>
      </c>
    </row>
    <row r="15" spans="1:12" x14ac:dyDescent="0.25">
      <c r="C15" s="3"/>
      <c r="D15" s="3"/>
      <c r="E15" s="3"/>
      <c r="F15" s="10"/>
    </row>
    <row r="16" spans="1:12" s="8" customFormat="1" ht="15.75" x14ac:dyDescent="0.25">
      <c r="B16" s="8" t="s">
        <v>131</v>
      </c>
      <c r="C16" s="9">
        <f>SUM(C14:C15)</f>
        <v>0</v>
      </c>
      <c r="D16" s="9">
        <f>SUM(D14:D15)</f>
        <v>273988</v>
      </c>
      <c r="E16" s="9">
        <f>SUM(E14:E15)</f>
        <v>273988</v>
      </c>
      <c r="F16" s="11">
        <f t="shared" si="2"/>
        <v>1</v>
      </c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438"/>
  <sheetViews>
    <sheetView zoomScaleNormal="100" workbookViewId="0">
      <selection activeCell="E18" sqref="E18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62</v>
      </c>
      <c r="B2" s="120" t="s">
        <v>132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29</v>
      </c>
      <c r="B4" t="s">
        <v>133</v>
      </c>
      <c r="C4" s="3">
        <v>78740</v>
      </c>
      <c r="D4" s="3">
        <v>78740</v>
      </c>
      <c r="E4" s="3"/>
      <c r="F4" s="10">
        <f t="shared" ref="F4:F10" si="0">E4/D4</f>
        <v>0</v>
      </c>
    </row>
    <row r="5" spans="1:12" x14ac:dyDescent="0.25">
      <c r="A5" t="s">
        <v>44</v>
      </c>
      <c r="B5" t="s">
        <v>45</v>
      </c>
      <c r="C5" s="3">
        <v>21260</v>
      </c>
      <c r="D5" s="3">
        <v>21260</v>
      </c>
      <c r="E5" s="3"/>
      <c r="F5" s="10">
        <f t="shared" si="0"/>
        <v>0</v>
      </c>
    </row>
    <row r="6" spans="1:12" s="4" customFormat="1" x14ac:dyDescent="0.25">
      <c r="A6" s="4" t="s">
        <v>52</v>
      </c>
      <c r="B6" s="4" t="s">
        <v>53</v>
      </c>
      <c r="C6" s="5">
        <f>SUM(C4:C5)</f>
        <v>100000</v>
      </c>
      <c r="D6" s="5">
        <f>SUM(D4:D5)</f>
        <v>100000</v>
      </c>
      <c r="E6" s="5"/>
      <c r="F6" s="11">
        <f t="shared" si="0"/>
        <v>0</v>
      </c>
    </row>
    <row r="7" spans="1:12" x14ac:dyDescent="0.25">
      <c r="C7" s="3">
        <v>0</v>
      </c>
      <c r="D7" s="3"/>
      <c r="E7" s="3"/>
      <c r="F7" s="10"/>
    </row>
    <row r="8" spans="1:12" s="4" customFormat="1" x14ac:dyDescent="0.25">
      <c r="A8" s="4" t="s">
        <v>55</v>
      </c>
      <c r="B8" s="4" t="s">
        <v>56</v>
      </c>
      <c r="C8" s="5">
        <f>SUM(C7)</f>
        <v>0</v>
      </c>
      <c r="D8" s="5">
        <f t="shared" ref="D8:E8" si="1">SUM(D7)</f>
        <v>0</v>
      </c>
      <c r="E8" s="5">
        <f t="shared" si="1"/>
        <v>0</v>
      </c>
      <c r="F8" s="11"/>
    </row>
    <row r="9" spans="1:12" x14ac:dyDescent="0.25">
      <c r="C9" s="3"/>
      <c r="D9" s="3"/>
      <c r="E9" s="3"/>
      <c r="F9" s="10"/>
    </row>
    <row r="10" spans="1:12" s="8" customFormat="1" ht="15.75" x14ac:dyDescent="0.25">
      <c r="B10" s="8" t="s">
        <v>57</v>
      </c>
      <c r="C10" s="9">
        <f>C6+C8</f>
        <v>100000</v>
      </c>
      <c r="D10" s="9">
        <f t="shared" ref="D10:E10" si="2">D6+D8</f>
        <v>100000</v>
      </c>
      <c r="E10" s="9">
        <f t="shared" si="2"/>
        <v>0</v>
      </c>
      <c r="F10" s="11">
        <f t="shared" si="0"/>
        <v>0</v>
      </c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  <c r="F13" s="10"/>
    </row>
    <row r="14" spans="1:12" s="4" customFormat="1" x14ac:dyDescent="0.25">
      <c r="C14" s="5"/>
      <c r="D14" s="5"/>
      <c r="E14" s="5"/>
      <c r="F14" s="11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L437"/>
  <sheetViews>
    <sheetView zoomScaleNormal="100" workbookViewId="0">
      <selection activeCell="E13" sqref="E13:E14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114</v>
      </c>
      <c r="B2" s="120" t="s">
        <v>321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20.25" customHeight="1" x14ac:dyDescent="0.25">
      <c r="A4" t="s">
        <v>313</v>
      </c>
      <c r="B4" t="s">
        <v>314</v>
      </c>
      <c r="C4" s="3">
        <v>1659449</v>
      </c>
      <c r="D4" s="3">
        <v>1659449</v>
      </c>
      <c r="E4" s="3">
        <f>204333</f>
        <v>204333</v>
      </c>
      <c r="F4" s="10">
        <f t="shared" ref="F4:F8" si="0">E4/D4</f>
        <v>0.12313303994277619</v>
      </c>
    </row>
    <row r="5" spans="1:12" x14ac:dyDescent="0.25">
      <c r="A5" t="s">
        <v>44</v>
      </c>
      <c r="B5" t="s">
        <v>45</v>
      </c>
      <c r="C5" s="3">
        <v>448051</v>
      </c>
      <c r="D5" s="3">
        <v>448051</v>
      </c>
      <c r="E5" s="3">
        <v>55170</v>
      </c>
      <c r="F5" s="10">
        <f t="shared" si="0"/>
        <v>0.12313330402119402</v>
      </c>
    </row>
    <row r="6" spans="1:12" s="4" customFormat="1" x14ac:dyDescent="0.25">
      <c r="A6" s="4" t="s">
        <v>52</v>
      </c>
      <c r="B6" s="4" t="s">
        <v>53</v>
      </c>
      <c r="C6" s="5">
        <f>SUM(C4:C5)</f>
        <v>2107500</v>
      </c>
      <c r="D6" s="5">
        <f>SUM(D4:D5)</f>
        <v>2107500</v>
      </c>
      <c r="E6" s="5">
        <f>SUM(E4:E5)</f>
        <v>259503</v>
      </c>
      <c r="F6" s="11">
        <f t="shared" si="0"/>
        <v>0.12313309608540925</v>
      </c>
    </row>
    <row r="7" spans="1:12" x14ac:dyDescent="0.25">
      <c r="C7" s="3"/>
      <c r="D7" s="3"/>
      <c r="E7" s="3"/>
      <c r="F7" s="10"/>
    </row>
    <row r="8" spans="1:12" s="8" customFormat="1" ht="15.75" x14ac:dyDescent="0.25">
      <c r="B8" s="8" t="s">
        <v>57</v>
      </c>
      <c r="C8" s="9">
        <f>C6</f>
        <v>2107500</v>
      </c>
      <c r="D8" s="9">
        <f t="shared" ref="D8:E8" si="1">D6</f>
        <v>2107500</v>
      </c>
      <c r="E8" s="9">
        <f t="shared" si="1"/>
        <v>259503</v>
      </c>
      <c r="F8" s="11">
        <f t="shared" si="0"/>
        <v>0.12313309608540925</v>
      </c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1:L435"/>
  <sheetViews>
    <sheetView zoomScaleNormal="100" workbookViewId="0">
      <selection activeCell="F9" sqref="F9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322</v>
      </c>
      <c r="B2" s="120" t="s">
        <v>323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x14ac:dyDescent="0.25">
      <c r="C3" s="3"/>
      <c r="D3" s="3"/>
      <c r="E3" s="3"/>
    </row>
    <row r="4" spans="1:12" ht="15.75" x14ac:dyDescent="0.25">
      <c r="B4" s="42" t="s">
        <v>58</v>
      </c>
      <c r="C4" s="3"/>
      <c r="D4" s="3"/>
      <c r="E4" s="3"/>
    </row>
    <row r="5" spans="1:12" x14ac:dyDescent="0.25">
      <c r="C5" s="3"/>
      <c r="D5" s="3"/>
      <c r="E5" s="3"/>
    </row>
    <row r="6" spans="1:12" x14ac:dyDescent="0.25">
      <c r="A6" t="s">
        <v>214</v>
      </c>
      <c r="B6" t="s">
        <v>324</v>
      </c>
      <c r="C6" s="3">
        <v>12054000</v>
      </c>
      <c r="D6" s="3">
        <v>12054000</v>
      </c>
      <c r="E6" s="3">
        <v>6027000</v>
      </c>
      <c r="F6" s="10">
        <f t="shared" ref="F6:F8" si="0">E6/D6</f>
        <v>0.5</v>
      </c>
    </row>
    <row r="7" spans="1:12" x14ac:dyDescent="0.25">
      <c r="C7" s="3"/>
      <c r="D7" s="3"/>
      <c r="E7" s="3"/>
    </row>
    <row r="8" spans="1:12" s="8" customFormat="1" ht="15.75" x14ac:dyDescent="0.25">
      <c r="B8" s="8" t="s">
        <v>131</v>
      </c>
      <c r="C8" s="9">
        <f>SUM(C6:C7)</f>
        <v>12054000</v>
      </c>
      <c r="D8" s="9">
        <f>SUM(D6:D7)</f>
        <v>12054000</v>
      </c>
      <c r="E8" s="9">
        <f>SUM(E6:E7)</f>
        <v>6027000</v>
      </c>
      <c r="F8" s="11">
        <f t="shared" si="0"/>
        <v>0.5</v>
      </c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1:L464"/>
  <sheetViews>
    <sheetView topLeftCell="A10" zoomScaleNormal="100" workbookViewId="0">
      <selection activeCell="D43" sqref="D43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116</v>
      </c>
      <c r="B2" s="120" t="s">
        <v>117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</v>
      </c>
      <c r="B4" t="s">
        <v>337</v>
      </c>
      <c r="C4" s="3">
        <v>9922200</v>
      </c>
      <c r="D4" s="3">
        <v>9922200</v>
      </c>
      <c r="E4" s="128">
        <v>4890600</v>
      </c>
      <c r="F4" s="129">
        <f>E4/(D4+D5)</f>
        <v>0.47619325816439795</v>
      </c>
    </row>
    <row r="5" spans="1:12" x14ac:dyDescent="0.25">
      <c r="B5" s="105" t="s">
        <v>325</v>
      </c>
      <c r="C5" s="3">
        <v>348000</v>
      </c>
      <c r="D5" s="3">
        <v>348000</v>
      </c>
      <c r="E5" s="128"/>
      <c r="F5" s="129"/>
    </row>
    <row r="6" spans="1:12" x14ac:dyDescent="0.25">
      <c r="A6" t="s">
        <v>426</v>
      </c>
      <c r="B6" t="s">
        <v>427</v>
      </c>
      <c r="C6" s="3">
        <v>150000</v>
      </c>
      <c r="D6" s="3">
        <v>150000</v>
      </c>
      <c r="E6" s="78"/>
      <c r="F6" s="84"/>
    </row>
    <row r="7" spans="1:12" x14ac:dyDescent="0.25">
      <c r="A7" t="s">
        <v>8</v>
      </c>
      <c r="B7" t="s">
        <v>9</v>
      </c>
      <c r="C7" s="3">
        <v>24000</v>
      </c>
      <c r="D7" s="3">
        <v>24000</v>
      </c>
      <c r="E7" s="3">
        <v>10000</v>
      </c>
      <c r="F7" s="10">
        <f t="shared" ref="F7:F29" si="0">E7/D7</f>
        <v>0.41666666666666669</v>
      </c>
    </row>
    <row r="8" spans="1:12" s="4" customFormat="1" x14ac:dyDescent="0.25">
      <c r="A8" s="4" t="s">
        <v>15</v>
      </c>
      <c r="B8" s="4" t="s">
        <v>16</v>
      </c>
      <c r="C8" s="5">
        <f>SUM(C4:C7)</f>
        <v>10444200</v>
      </c>
      <c r="D8" s="5">
        <f>SUM(D4:D7)</f>
        <v>10444200</v>
      </c>
      <c r="E8" s="5">
        <f>SUM(E4:E7)</f>
        <v>4900600</v>
      </c>
      <c r="F8" s="11">
        <f t="shared" si="0"/>
        <v>0.46921736466172614</v>
      </c>
    </row>
    <row r="9" spans="1:12" s="4" customFormat="1" x14ac:dyDescent="0.25">
      <c r="A9" s="4" t="s">
        <v>17</v>
      </c>
      <c r="B9" s="4" t="s">
        <v>18</v>
      </c>
      <c r="C9" s="5">
        <v>1357746</v>
      </c>
      <c r="D9" s="5">
        <v>1357746</v>
      </c>
      <c r="E9" s="5">
        <v>637078</v>
      </c>
      <c r="F9" s="11">
        <f t="shared" si="0"/>
        <v>0.46921736466172614</v>
      </c>
    </row>
    <row r="10" spans="1:12" x14ac:dyDescent="0.25">
      <c r="A10" t="s">
        <v>20</v>
      </c>
      <c r="B10" t="s">
        <v>547</v>
      </c>
      <c r="C10" s="3">
        <v>236220</v>
      </c>
      <c r="D10" s="3">
        <v>236220</v>
      </c>
      <c r="E10" s="3"/>
      <c r="F10" s="10">
        <f t="shared" si="0"/>
        <v>0</v>
      </c>
    </row>
    <row r="11" spans="1:12" x14ac:dyDescent="0.25">
      <c r="B11" t="s">
        <v>326</v>
      </c>
      <c r="C11" s="3">
        <v>78740</v>
      </c>
      <c r="D11" s="3">
        <v>78740</v>
      </c>
      <c r="E11" s="3"/>
      <c r="F11" s="10">
        <f t="shared" si="0"/>
        <v>0</v>
      </c>
    </row>
    <row r="12" spans="1:12" x14ac:dyDescent="0.25">
      <c r="B12" t="s">
        <v>327</v>
      </c>
      <c r="C12" s="3">
        <v>15748</v>
      </c>
      <c r="D12" s="3">
        <v>15748</v>
      </c>
      <c r="E12" s="3"/>
      <c r="F12" s="10">
        <f t="shared" si="0"/>
        <v>0</v>
      </c>
    </row>
    <row r="13" spans="1:12" x14ac:dyDescent="0.25">
      <c r="A13" t="s">
        <v>25</v>
      </c>
      <c r="B13" t="s">
        <v>328</v>
      </c>
      <c r="C13" s="3">
        <v>78740</v>
      </c>
      <c r="D13" s="3">
        <v>78740</v>
      </c>
      <c r="E13" s="3"/>
      <c r="F13" s="10">
        <f t="shared" si="0"/>
        <v>0</v>
      </c>
    </row>
    <row r="14" spans="1:12" x14ac:dyDescent="0.25">
      <c r="B14" t="s">
        <v>329</v>
      </c>
      <c r="C14" s="3">
        <v>224400</v>
      </c>
      <c r="D14" s="3">
        <v>224400</v>
      </c>
      <c r="E14" s="3">
        <f>56100+56100</f>
        <v>112200</v>
      </c>
      <c r="F14" s="10">
        <f t="shared" si="0"/>
        <v>0.5</v>
      </c>
    </row>
    <row r="15" spans="1:12" x14ac:dyDescent="0.25">
      <c r="B15" t="s">
        <v>296</v>
      </c>
      <c r="C15" s="3">
        <v>118110</v>
      </c>
      <c r="D15" s="3">
        <v>118110</v>
      </c>
      <c r="E15" s="3"/>
      <c r="F15" s="10">
        <f t="shared" si="0"/>
        <v>0</v>
      </c>
    </row>
    <row r="16" spans="1:12" x14ac:dyDescent="0.25">
      <c r="A16" t="s">
        <v>313</v>
      </c>
      <c r="B16" t="s">
        <v>314</v>
      </c>
      <c r="C16" s="3">
        <v>50297000</v>
      </c>
      <c r="D16" s="3">
        <v>50297000</v>
      </c>
      <c r="E16" s="3">
        <f>17556106+3229915+173622-18110-354960</f>
        <v>20586573</v>
      </c>
      <c r="F16" s="10">
        <f t="shared" si="0"/>
        <v>0.40930021671272643</v>
      </c>
    </row>
    <row r="17" spans="1:6" x14ac:dyDescent="0.25">
      <c r="A17" t="s">
        <v>29</v>
      </c>
      <c r="B17" t="s">
        <v>298</v>
      </c>
      <c r="C17" s="3">
        <v>118110</v>
      </c>
      <c r="D17" s="3">
        <v>118110</v>
      </c>
      <c r="E17" s="3"/>
      <c r="F17" s="10">
        <f t="shared" si="0"/>
        <v>0</v>
      </c>
    </row>
    <row r="18" spans="1:6" x14ac:dyDescent="0.25">
      <c r="A18" t="s">
        <v>30</v>
      </c>
      <c r="B18" t="s">
        <v>330</v>
      </c>
      <c r="C18" s="3">
        <v>12000</v>
      </c>
      <c r="D18" s="3">
        <v>12000</v>
      </c>
      <c r="E18" s="3"/>
      <c r="F18" s="10">
        <f t="shared" si="0"/>
        <v>0</v>
      </c>
    </row>
    <row r="19" spans="1:6" x14ac:dyDescent="0.25">
      <c r="B19" t="s">
        <v>331</v>
      </c>
      <c r="C19" s="3">
        <v>314961</v>
      </c>
      <c r="D19" s="3">
        <v>314961</v>
      </c>
      <c r="E19" s="3">
        <f>219000</f>
        <v>219000</v>
      </c>
      <c r="F19" s="10">
        <f t="shared" si="0"/>
        <v>0.69532418299408494</v>
      </c>
    </row>
    <row r="20" spans="1:6" x14ac:dyDescent="0.25">
      <c r="A20" t="s">
        <v>36</v>
      </c>
      <c r="B20" t="s">
        <v>409</v>
      </c>
      <c r="C20" s="3">
        <v>850000</v>
      </c>
      <c r="D20" s="3">
        <v>850000</v>
      </c>
      <c r="E20" s="3">
        <f>309087+147699</f>
        <v>456786</v>
      </c>
      <c r="F20" s="10">
        <f t="shared" si="0"/>
        <v>0.53739529411764708</v>
      </c>
    </row>
    <row r="21" spans="1:6" x14ac:dyDescent="0.25">
      <c r="B21" t="s">
        <v>332</v>
      </c>
      <c r="C21" s="3">
        <v>20000</v>
      </c>
      <c r="D21" s="3">
        <v>20000</v>
      </c>
      <c r="E21" s="3"/>
      <c r="F21" s="10">
        <f t="shared" si="0"/>
        <v>0</v>
      </c>
    </row>
    <row r="22" spans="1:6" x14ac:dyDescent="0.25">
      <c r="B22" t="s">
        <v>333</v>
      </c>
      <c r="C22" s="3">
        <v>4803140</v>
      </c>
      <c r="D22" s="3">
        <v>4803140</v>
      </c>
      <c r="E22" s="3">
        <f>4990304-3229915-173622+18110+354960</f>
        <v>1959837</v>
      </c>
      <c r="F22" s="10">
        <f t="shared" si="0"/>
        <v>0.40803245376982555</v>
      </c>
    </row>
    <row r="23" spans="1:6" x14ac:dyDescent="0.25">
      <c r="A23" t="s">
        <v>42</v>
      </c>
      <c r="B23" t="s">
        <v>334</v>
      </c>
      <c r="C23" s="3">
        <v>150000</v>
      </c>
      <c r="D23" s="3">
        <v>150000</v>
      </c>
      <c r="E23" s="3"/>
      <c r="F23" s="10">
        <f t="shared" si="0"/>
        <v>0</v>
      </c>
    </row>
    <row r="24" spans="1:6" x14ac:dyDescent="0.25">
      <c r="A24" t="s">
        <v>44</v>
      </c>
      <c r="B24" t="s">
        <v>45</v>
      </c>
      <c r="C24" s="3">
        <v>15196997</v>
      </c>
      <c r="D24" s="3">
        <v>15196997</v>
      </c>
      <c r="E24" s="3">
        <v>6117825</v>
      </c>
      <c r="F24" s="10">
        <f t="shared" si="0"/>
        <v>0.40256802051089435</v>
      </c>
    </row>
    <row r="25" spans="1:6" s="4" customFormat="1" x14ac:dyDescent="0.25">
      <c r="A25" s="4" t="s">
        <v>52</v>
      </c>
      <c r="B25" s="4" t="s">
        <v>53</v>
      </c>
      <c r="C25" s="5">
        <f>SUM(C10:C24)</f>
        <v>72514166</v>
      </c>
      <c r="D25" s="5">
        <f>SUM(D10:D24)</f>
        <v>72514166</v>
      </c>
      <c r="E25" s="5">
        <f>SUM(E10:E24)</f>
        <v>29452221</v>
      </c>
      <c r="F25" s="11">
        <f t="shared" si="0"/>
        <v>0.40615817052905223</v>
      </c>
    </row>
    <row r="26" spans="1:6" x14ac:dyDescent="0.25">
      <c r="A26" t="s">
        <v>548</v>
      </c>
      <c r="B26" t="s">
        <v>549</v>
      </c>
      <c r="C26" s="3">
        <v>300000</v>
      </c>
      <c r="D26" s="3">
        <v>300000</v>
      </c>
      <c r="E26" s="3"/>
      <c r="F26" s="10">
        <f t="shared" si="0"/>
        <v>0</v>
      </c>
    </row>
    <row r="27" spans="1:6" s="4" customFormat="1" x14ac:dyDescent="0.25">
      <c r="A27" s="4" t="s">
        <v>232</v>
      </c>
      <c r="B27" s="4" t="s">
        <v>233</v>
      </c>
      <c r="C27" s="5">
        <f>SUM(C26:C26)</f>
        <v>300000</v>
      </c>
      <c r="D27" s="5">
        <f>SUM(D26:D26)</f>
        <v>300000</v>
      </c>
      <c r="E27" s="5">
        <f>SUM(E26:E26)</f>
        <v>0</v>
      </c>
      <c r="F27" s="11">
        <f t="shared" si="0"/>
        <v>0</v>
      </c>
    </row>
    <row r="28" spans="1:6" x14ac:dyDescent="0.25">
      <c r="C28" s="3"/>
      <c r="D28" s="3"/>
      <c r="E28" s="3"/>
      <c r="F28" s="10"/>
    </row>
    <row r="29" spans="1:6" s="8" customFormat="1" ht="15.75" x14ac:dyDescent="0.25">
      <c r="B29" s="8" t="s">
        <v>57</v>
      </c>
      <c r="C29" s="9">
        <f>C25+C9+C8+C27</f>
        <v>84616112</v>
      </c>
      <c r="D29" s="9">
        <f>D25+D9+D8+D27</f>
        <v>84616112</v>
      </c>
      <c r="E29" s="9">
        <f>E25+E9+E8+E27</f>
        <v>34989899</v>
      </c>
      <c r="F29" s="11">
        <f t="shared" si="0"/>
        <v>0.41351343346997554</v>
      </c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ht="15.75" x14ac:dyDescent="0.25">
      <c r="B32" s="42" t="s">
        <v>58</v>
      </c>
      <c r="C32" s="3"/>
      <c r="D32" s="3"/>
      <c r="E32" s="3"/>
    </row>
    <row r="33" spans="1:6" x14ac:dyDescent="0.25">
      <c r="C33" s="3"/>
      <c r="D33" s="3"/>
      <c r="E33" s="3"/>
    </row>
    <row r="34" spans="1:6" x14ac:dyDescent="0.25">
      <c r="A34" t="s">
        <v>317</v>
      </c>
      <c r="B34" s="43" t="s">
        <v>335</v>
      </c>
      <c r="C34" s="3">
        <v>35207900</v>
      </c>
      <c r="D34" s="3">
        <v>35207900</v>
      </c>
      <c r="E34" s="3">
        <v>15638306</v>
      </c>
      <c r="F34" s="10">
        <f t="shared" ref="F34:F35" si="1">E34/D34</f>
        <v>0.44417037085426853</v>
      </c>
    </row>
    <row r="35" spans="1:6" x14ac:dyDescent="0.25">
      <c r="A35" t="s">
        <v>170</v>
      </c>
      <c r="B35" t="s">
        <v>171</v>
      </c>
      <c r="C35" s="3">
        <v>9506133</v>
      </c>
      <c r="D35" s="3">
        <v>9506133</v>
      </c>
      <c r="E35" s="3">
        <v>4222174</v>
      </c>
      <c r="F35" s="10">
        <f t="shared" si="1"/>
        <v>0.44415263283187811</v>
      </c>
    </row>
    <row r="36" spans="1:6" x14ac:dyDescent="0.25">
      <c r="A36" t="s">
        <v>377</v>
      </c>
      <c r="B36" t="s">
        <v>382</v>
      </c>
      <c r="C36" s="3">
        <v>0</v>
      </c>
      <c r="D36" s="3">
        <v>0</v>
      </c>
      <c r="E36" s="3"/>
      <c r="F36" s="10"/>
    </row>
    <row r="37" spans="1:6" s="8" customFormat="1" ht="15.75" x14ac:dyDescent="0.25">
      <c r="B37" s="8" t="s">
        <v>131</v>
      </c>
      <c r="C37" s="9">
        <f>SUM(C34:C36)</f>
        <v>44714033</v>
      </c>
      <c r="D37" s="9">
        <f>SUM(D34:D36)</f>
        <v>44714033</v>
      </c>
      <c r="E37" s="9">
        <f>SUM(E34:E36)</f>
        <v>19860480</v>
      </c>
      <c r="F37" s="11">
        <f t="shared" ref="F37" si="2">E37/D37</f>
        <v>0.4441665997786422</v>
      </c>
    </row>
    <row r="38" spans="1:6" x14ac:dyDescent="0.25">
      <c r="C38" s="3"/>
      <c r="D38" s="3"/>
      <c r="E38" s="3"/>
    </row>
    <row r="39" spans="1:6" x14ac:dyDescent="0.25">
      <c r="C39" s="3"/>
      <c r="D39" s="3"/>
      <c r="E39" s="3"/>
    </row>
    <row r="40" spans="1:6" x14ac:dyDescent="0.25">
      <c r="C40" s="3"/>
      <c r="D40" s="3"/>
      <c r="E40" s="3"/>
    </row>
    <row r="41" spans="1:6" x14ac:dyDescent="0.25">
      <c r="C41" s="3"/>
      <c r="D41" s="3"/>
      <c r="E41" s="3"/>
    </row>
    <row r="42" spans="1:6" x14ac:dyDescent="0.25">
      <c r="C42" s="3"/>
      <c r="D42" s="3"/>
      <c r="E42" s="3"/>
    </row>
    <row r="43" spans="1:6" x14ac:dyDescent="0.25">
      <c r="C43" s="3"/>
      <c r="D43" s="3"/>
      <c r="E43" s="3"/>
    </row>
    <row r="44" spans="1:6" x14ac:dyDescent="0.25">
      <c r="C44" s="3"/>
      <c r="D44" s="3"/>
      <c r="E44" s="3"/>
    </row>
    <row r="45" spans="1:6" x14ac:dyDescent="0.25">
      <c r="C45" s="3"/>
      <c r="D45" s="3"/>
      <c r="E45" s="3"/>
    </row>
    <row r="46" spans="1:6" x14ac:dyDescent="0.25">
      <c r="C46" s="3"/>
      <c r="D46" s="3"/>
      <c r="E46" s="3"/>
    </row>
    <row r="47" spans="1:6" x14ac:dyDescent="0.25">
      <c r="C47" s="3"/>
      <c r="D47" s="3"/>
      <c r="E47" s="3"/>
    </row>
    <row r="48" spans="1:6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</sheetData>
  <mergeCells count="3">
    <mergeCell ref="B2:F2"/>
    <mergeCell ref="E4:E5"/>
    <mergeCell ref="F4:F5"/>
  </mergeCells>
  <pageMargins left="0.7" right="0.7" top="0.75" bottom="0.75" header="0.3" footer="0.3"/>
  <pageSetup paperSize="9" scale="74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1:L464"/>
  <sheetViews>
    <sheetView topLeftCell="A7" zoomScaleNormal="100" workbookViewId="0">
      <selection activeCell="E39" sqref="E39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118</v>
      </c>
      <c r="B2" s="120" t="s">
        <v>119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</v>
      </c>
      <c r="B4" t="s">
        <v>550</v>
      </c>
      <c r="C4" s="3">
        <v>17731110</v>
      </c>
      <c r="D4" s="3">
        <f>17731110-266800</f>
        <v>17464310</v>
      </c>
      <c r="E4" s="126">
        <v>8652200</v>
      </c>
      <c r="F4" s="121">
        <f>E4/(D4+D5)</f>
        <v>0.46242953751167137</v>
      </c>
    </row>
    <row r="5" spans="1:12" x14ac:dyDescent="0.25">
      <c r="B5" t="s">
        <v>325</v>
      </c>
      <c r="C5" s="3">
        <v>1246000</v>
      </c>
      <c r="D5" s="3">
        <v>1246000</v>
      </c>
      <c r="E5" s="126"/>
      <c r="F5" s="121"/>
    </row>
    <row r="6" spans="1:12" x14ac:dyDescent="0.25">
      <c r="A6" t="s">
        <v>426</v>
      </c>
      <c r="B6" t="s">
        <v>427</v>
      </c>
      <c r="C6" s="3">
        <v>450000</v>
      </c>
      <c r="D6" s="3">
        <v>450000</v>
      </c>
      <c r="E6" s="78"/>
      <c r="F6" s="84"/>
    </row>
    <row r="7" spans="1:12" x14ac:dyDescent="0.25">
      <c r="A7" t="s">
        <v>412</v>
      </c>
      <c r="B7" t="s">
        <v>413</v>
      </c>
      <c r="C7" s="3">
        <v>174900</v>
      </c>
      <c r="D7" s="3">
        <v>174900</v>
      </c>
      <c r="E7" s="78">
        <v>73920</v>
      </c>
      <c r="F7" s="10">
        <f t="shared" ref="F7:F30" si="0">E7/D7</f>
        <v>0.42264150943396228</v>
      </c>
    </row>
    <row r="8" spans="1:12" x14ac:dyDescent="0.25">
      <c r="A8" t="s">
        <v>8</v>
      </c>
      <c r="B8" t="s">
        <v>338</v>
      </c>
      <c r="C8" s="3">
        <v>72000</v>
      </c>
      <c r="D8" s="3">
        <v>72000</v>
      </c>
      <c r="E8" s="3">
        <v>20000</v>
      </c>
      <c r="F8" s="10">
        <f t="shared" si="0"/>
        <v>0.27777777777777779</v>
      </c>
    </row>
    <row r="9" spans="1:12" x14ac:dyDescent="0.25">
      <c r="B9" t="s">
        <v>381</v>
      </c>
      <c r="C9" s="3"/>
      <c r="D9" s="3"/>
      <c r="E9" s="3">
        <v>52472</v>
      </c>
      <c r="F9" s="10"/>
    </row>
    <row r="10" spans="1:12" x14ac:dyDescent="0.25">
      <c r="B10" t="s">
        <v>339</v>
      </c>
      <c r="C10" s="3">
        <v>1525586</v>
      </c>
      <c r="D10" s="3">
        <v>1525586</v>
      </c>
      <c r="E10" s="3">
        <v>330076</v>
      </c>
      <c r="F10" s="10">
        <f t="shared" si="0"/>
        <v>0.21636013964470047</v>
      </c>
    </row>
    <row r="11" spans="1:12" x14ac:dyDescent="0.25">
      <c r="A11" t="s">
        <v>564</v>
      </c>
      <c r="B11" t="s">
        <v>565</v>
      </c>
      <c r="C11" s="3">
        <v>0</v>
      </c>
      <c r="D11" s="3">
        <f>266800</f>
        <v>266800</v>
      </c>
      <c r="E11" s="3">
        <v>266800</v>
      </c>
      <c r="F11" s="10"/>
    </row>
    <row r="12" spans="1:12" s="4" customFormat="1" x14ac:dyDescent="0.25">
      <c r="A12" s="4" t="s">
        <v>15</v>
      </c>
      <c r="B12" s="4" t="s">
        <v>16</v>
      </c>
      <c r="C12" s="5">
        <f>SUM(C4:C11)</f>
        <v>21199596</v>
      </c>
      <c r="D12" s="5">
        <f t="shared" ref="D12:E12" si="1">SUM(D4:D11)</f>
        <v>21199596</v>
      </c>
      <c r="E12" s="5">
        <f t="shared" si="1"/>
        <v>9395468</v>
      </c>
      <c r="F12" s="11">
        <f t="shared" si="0"/>
        <v>0.44319089854353827</v>
      </c>
    </row>
    <row r="13" spans="1:12" s="4" customFormat="1" x14ac:dyDescent="0.25">
      <c r="A13" s="4" t="s">
        <v>17</v>
      </c>
      <c r="B13" s="4" t="s">
        <v>18</v>
      </c>
      <c r="C13" s="5">
        <v>2741141</v>
      </c>
      <c r="D13" s="5">
        <v>2741141</v>
      </c>
      <c r="E13" s="5">
        <v>1208335</v>
      </c>
      <c r="F13" s="11">
        <f t="shared" si="0"/>
        <v>0.44081460968261027</v>
      </c>
    </row>
    <row r="14" spans="1:12" x14ac:dyDescent="0.25">
      <c r="A14" t="s">
        <v>20</v>
      </c>
      <c r="B14" t="s">
        <v>340</v>
      </c>
      <c r="C14" s="3">
        <v>393701</v>
      </c>
      <c r="D14" s="3">
        <v>393701</v>
      </c>
      <c r="E14" s="3"/>
      <c r="F14" s="10">
        <f t="shared" si="0"/>
        <v>0</v>
      </c>
    </row>
    <row r="15" spans="1:12" x14ac:dyDescent="0.25">
      <c r="B15" t="s">
        <v>713</v>
      </c>
      <c r="C15" s="3">
        <v>393701</v>
      </c>
      <c r="D15" s="3">
        <v>393701</v>
      </c>
      <c r="E15" s="3">
        <f>110236+34309</f>
        <v>144545</v>
      </c>
      <c r="F15" s="10">
        <f t="shared" si="0"/>
        <v>0.36714410174218504</v>
      </c>
      <c r="H15" s="130"/>
      <c r="I15" s="130"/>
      <c r="J15" s="130"/>
    </row>
    <row r="16" spans="1:12" x14ac:dyDescent="0.25">
      <c r="B16" t="s">
        <v>716</v>
      </c>
      <c r="C16" s="3">
        <v>0</v>
      </c>
      <c r="D16" s="3">
        <v>2520402</v>
      </c>
      <c r="E16" s="3">
        <v>41284</v>
      </c>
      <c r="F16" s="10"/>
      <c r="H16" s="101"/>
      <c r="I16" s="101"/>
      <c r="J16" s="101"/>
    </row>
    <row r="17" spans="1:6" x14ac:dyDescent="0.25">
      <c r="B17" t="s">
        <v>341</v>
      </c>
      <c r="C17" s="3">
        <v>31496</v>
      </c>
      <c r="D17" s="3">
        <v>31496</v>
      </c>
      <c r="E17" s="3"/>
      <c r="F17" s="10">
        <f t="shared" si="0"/>
        <v>0</v>
      </c>
    </row>
    <row r="18" spans="1:6" x14ac:dyDescent="0.25">
      <c r="A18" t="s">
        <v>25</v>
      </c>
      <c r="B18" t="s">
        <v>342</v>
      </c>
      <c r="C18" s="3">
        <v>157480</v>
      </c>
      <c r="D18" s="3">
        <v>157480</v>
      </c>
      <c r="E18" s="3">
        <f>10376</f>
        <v>10376</v>
      </c>
      <c r="F18" s="10">
        <f t="shared" si="0"/>
        <v>6.5887731775463546E-2</v>
      </c>
    </row>
    <row r="19" spans="1:6" x14ac:dyDescent="0.25">
      <c r="A19" t="s">
        <v>28</v>
      </c>
      <c r="B19" t="s">
        <v>343</v>
      </c>
      <c r="C19" s="3">
        <v>94488</v>
      </c>
      <c r="D19" s="3">
        <v>94488</v>
      </c>
      <c r="E19" s="3">
        <f>41120</f>
        <v>41120</v>
      </c>
      <c r="F19" s="10">
        <f t="shared" si="0"/>
        <v>0.43518753704174074</v>
      </c>
    </row>
    <row r="20" spans="1:6" x14ac:dyDescent="0.25">
      <c r="A20" t="s">
        <v>29</v>
      </c>
      <c r="B20" t="s">
        <v>298</v>
      </c>
      <c r="C20" s="3">
        <v>157480</v>
      </c>
      <c r="D20" s="3">
        <v>157480</v>
      </c>
      <c r="E20" s="3"/>
      <c r="F20" s="10">
        <f t="shared" si="0"/>
        <v>0</v>
      </c>
    </row>
    <row r="21" spans="1:6" x14ac:dyDescent="0.25">
      <c r="A21" t="s">
        <v>30</v>
      </c>
      <c r="B21" t="s">
        <v>34</v>
      </c>
      <c r="C21" s="3">
        <v>24000</v>
      </c>
      <c r="D21" s="3">
        <v>24000</v>
      </c>
      <c r="E21" s="3"/>
      <c r="F21" s="10">
        <f t="shared" si="0"/>
        <v>0</v>
      </c>
    </row>
    <row r="22" spans="1:6" x14ac:dyDescent="0.25">
      <c r="B22" t="s">
        <v>331</v>
      </c>
      <c r="C22" s="3">
        <v>629921</v>
      </c>
      <c r="D22" s="3">
        <v>629921</v>
      </c>
      <c r="E22" s="3">
        <f>219000</f>
        <v>219000</v>
      </c>
      <c r="F22" s="10">
        <f t="shared" si="0"/>
        <v>0.34766264341084041</v>
      </c>
    </row>
    <row r="23" spans="1:6" x14ac:dyDescent="0.25">
      <c r="A23" t="s">
        <v>42</v>
      </c>
      <c r="B23" t="s">
        <v>334</v>
      </c>
      <c r="C23" s="3">
        <v>300000</v>
      </c>
      <c r="D23" s="3">
        <v>300000</v>
      </c>
      <c r="E23" s="3"/>
      <c r="F23" s="10">
        <f t="shared" si="0"/>
        <v>0</v>
      </c>
    </row>
    <row r="24" spans="1:6" x14ac:dyDescent="0.25">
      <c r="A24" t="s">
        <v>44</v>
      </c>
      <c r="B24" t="s">
        <v>45</v>
      </c>
      <c r="C24" s="3">
        <v>501733</v>
      </c>
      <c r="D24" s="3">
        <v>1182241</v>
      </c>
      <c r="E24" s="3">
        <f>61796</f>
        <v>61796</v>
      </c>
      <c r="F24" s="10">
        <f t="shared" si="0"/>
        <v>5.2270222399663016E-2</v>
      </c>
    </row>
    <row r="25" spans="1:6" x14ac:dyDescent="0.25">
      <c r="A25" t="s">
        <v>48</v>
      </c>
      <c r="B25" t="s">
        <v>344</v>
      </c>
      <c r="C25" s="3">
        <v>0</v>
      </c>
      <c r="D25" s="3">
        <v>0</v>
      </c>
      <c r="E25" s="3"/>
      <c r="F25" s="10"/>
    </row>
    <row r="26" spans="1:6" s="4" customFormat="1" x14ac:dyDescent="0.25">
      <c r="A26" s="4" t="s">
        <v>52</v>
      </c>
      <c r="B26" s="4" t="s">
        <v>53</v>
      </c>
      <c r="C26" s="5">
        <f>SUM(C14:C25)</f>
        <v>2684000</v>
      </c>
      <c r="D26" s="5">
        <f>SUM(D14:D25)</f>
        <v>5884910</v>
      </c>
      <c r="E26" s="5">
        <f>SUM(E14:E25)</f>
        <v>518121</v>
      </c>
      <c r="F26" s="11">
        <f t="shared" si="0"/>
        <v>8.804229801305373E-2</v>
      </c>
    </row>
    <row r="27" spans="1:6" x14ac:dyDescent="0.25">
      <c r="B27" t="s">
        <v>551</v>
      </c>
      <c r="C27" s="3">
        <v>0</v>
      </c>
      <c r="D27" s="3">
        <v>0</v>
      </c>
      <c r="E27" s="3"/>
      <c r="F27" s="10"/>
    </row>
    <row r="28" spans="1:6" s="4" customFormat="1" x14ac:dyDescent="0.25">
      <c r="A28" s="4" t="s">
        <v>232</v>
      </c>
      <c r="B28" s="4" t="s">
        <v>233</v>
      </c>
      <c r="C28" s="5">
        <f>SUM(C27:C27)</f>
        <v>0</v>
      </c>
      <c r="D28" s="5">
        <f>SUM(D27:D27)</f>
        <v>0</v>
      </c>
      <c r="E28" s="5">
        <f>SUM(E27:E27)</f>
        <v>0</v>
      </c>
      <c r="F28" s="11"/>
    </row>
    <row r="29" spans="1:6" x14ac:dyDescent="0.25">
      <c r="C29" s="3"/>
      <c r="D29" s="3"/>
      <c r="E29" s="3"/>
      <c r="F29" s="10"/>
    </row>
    <row r="30" spans="1:6" s="8" customFormat="1" ht="15.75" x14ac:dyDescent="0.25">
      <c r="B30" s="8" t="s">
        <v>57</v>
      </c>
      <c r="C30" s="9">
        <f>C28+C26+C13+C12</f>
        <v>26624737</v>
      </c>
      <c r="D30" s="9">
        <f t="shared" ref="D30:E30" si="2">D28+D26+D13+D12</f>
        <v>29825647</v>
      </c>
      <c r="E30" s="9">
        <f t="shared" si="2"/>
        <v>11121924</v>
      </c>
      <c r="F30" s="11">
        <f t="shared" si="0"/>
        <v>0.37289799614405683</v>
      </c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1:6" ht="15.75" x14ac:dyDescent="0.25">
      <c r="B33" s="42" t="s">
        <v>58</v>
      </c>
      <c r="C33" s="3"/>
      <c r="D33" s="3"/>
      <c r="E33" s="3"/>
    </row>
    <row r="34" spans="1:6" x14ac:dyDescent="0.25">
      <c r="C34" s="3"/>
      <c r="D34" s="3"/>
      <c r="E34" s="3"/>
    </row>
    <row r="35" spans="1:6" x14ac:dyDescent="0.25">
      <c r="A35" t="s">
        <v>317</v>
      </c>
      <c r="B35" t="s">
        <v>336</v>
      </c>
      <c r="C35" s="3">
        <v>850000</v>
      </c>
      <c r="D35" s="3">
        <v>850000</v>
      </c>
      <c r="E35" s="3">
        <v>452230</v>
      </c>
      <c r="F35" s="10">
        <f t="shared" ref="F35" si="3">E35/D35</f>
        <v>0.53203529411764705</v>
      </c>
    </row>
    <row r="36" spans="1:6" x14ac:dyDescent="0.25">
      <c r="C36" s="3"/>
      <c r="D36" s="3"/>
      <c r="E36" s="3"/>
    </row>
    <row r="37" spans="1:6" s="8" customFormat="1" ht="15.75" x14ac:dyDescent="0.25">
      <c r="B37" s="8" t="s">
        <v>131</v>
      </c>
      <c r="C37" s="9">
        <f>SUM(C35:C36)</f>
        <v>850000</v>
      </c>
      <c r="D37" s="9">
        <f>SUM(D35:D36)</f>
        <v>850000</v>
      </c>
      <c r="E37" s="9">
        <f>SUM(E35:E36)</f>
        <v>452230</v>
      </c>
      <c r="F37" s="11">
        <f t="shared" ref="F37" si="4">E37/D37</f>
        <v>0.53203529411764705</v>
      </c>
    </row>
    <row r="38" spans="1:6" x14ac:dyDescent="0.25">
      <c r="C38" s="3"/>
      <c r="D38" s="3"/>
      <c r="E38" s="3"/>
    </row>
    <row r="39" spans="1:6" x14ac:dyDescent="0.25">
      <c r="C39" s="3"/>
      <c r="D39" s="3"/>
      <c r="E39" s="3"/>
    </row>
    <row r="40" spans="1:6" x14ac:dyDescent="0.25">
      <c r="C40" s="3"/>
      <c r="D40" s="3"/>
      <c r="E40" s="3"/>
    </row>
    <row r="41" spans="1:6" x14ac:dyDescent="0.25">
      <c r="C41" s="3"/>
      <c r="D41" s="3"/>
      <c r="E41" s="3"/>
    </row>
    <row r="42" spans="1:6" x14ac:dyDescent="0.25">
      <c r="C42" s="3"/>
      <c r="D42" s="3"/>
      <c r="E42" s="3"/>
    </row>
    <row r="43" spans="1:6" x14ac:dyDescent="0.25">
      <c r="C43" s="3"/>
      <c r="D43" s="3"/>
      <c r="E43" s="3"/>
    </row>
    <row r="44" spans="1:6" x14ac:dyDescent="0.25">
      <c r="C44" s="3"/>
      <c r="D44" s="3"/>
      <c r="E44" s="3"/>
    </row>
    <row r="45" spans="1:6" x14ac:dyDescent="0.25">
      <c r="C45" s="3"/>
      <c r="D45" s="3"/>
      <c r="E45" s="3"/>
    </row>
    <row r="46" spans="1:6" x14ac:dyDescent="0.25">
      <c r="C46" s="3"/>
      <c r="D46" s="3"/>
      <c r="E46" s="3"/>
    </row>
    <row r="47" spans="1:6" x14ac:dyDescent="0.25">
      <c r="C47" s="3"/>
      <c r="D47" s="3"/>
      <c r="E47" s="3"/>
    </row>
    <row r="48" spans="1:6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</sheetData>
  <mergeCells count="4">
    <mergeCell ref="B2:F2"/>
    <mergeCell ref="E4:E5"/>
    <mergeCell ref="H15:J15"/>
    <mergeCell ref="F4:F5"/>
  </mergeCells>
  <pageMargins left="0.7" right="0.7" top="0.75" bottom="0.75" header="0.3" footer="0.3"/>
  <pageSetup paperSize="9" scale="64" orientation="portrait" r:id="rId1"/>
  <colBreaks count="1" manualBreakCount="1">
    <brk id="8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1:L444"/>
  <sheetViews>
    <sheetView zoomScaleNormal="100" workbookViewId="0">
      <selection activeCell="F34" sqref="F34"/>
    </sheetView>
  </sheetViews>
  <sheetFormatPr defaultRowHeight="15" x14ac:dyDescent="0.25"/>
  <cols>
    <col min="2" max="2" width="52.8554687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120</v>
      </c>
      <c r="B2" s="120" t="s">
        <v>345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346</v>
      </c>
      <c r="B4" t="s">
        <v>347</v>
      </c>
      <c r="C4" s="3">
        <v>1080000</v>
      </c>
      <c r="D4" s="3">
        <v>1080000</v>
      </c>
      <c r="E4" s="3"/>
      <c r="F4" s="10">
        <f>E4/D4</f>
        <v>0</v>
      </c>
    </row>
    <row r="5" spans="1:12" x14ac:dyDescent="0.25">
      <c r="B5" t="s">
        <v>348</v>
      </c>
      <c r="C5" s="3">
        <v>1000000</v>
      </c>
      <c r="D5" s="3">
        <f>1000000-236510-244800</f>
        <v>518690</v>
      </c>
      <c r="E5" s="74">
        <f>210000+49290+10000+2700</f>
        <v>271990</v>
      </c>
      <c r="F5" s="10">
        <f t="shared" ref="F5:F11" si="0">E5/D5</f>
        <v>0.52437872332221558</v>
      </c>
    </row>
    <row r="6" spans="1:12" x14ac:dyDescent="0.25">
      <c r="B6" t="s">
        <v>349</v>
      </c>
      <c r="C6" s="3">
        <v>9240000</v>
      </c>
      <c r="D6" s="3">
        <v>9240000</v>
      </c>
      <c r="E6" s="3">
        <f>3279945+27600</f>
        <v>3307545</v>
      </c>
      <c r="F6" s="10">
        <f t="shared" si="0"/>
        <v>0.35795941558441557</v>
      </c>
    </row>
    <row r="7" spans="1:12" s="4" customFormat="1" x14ac:dyDescent="0.25">
      <c r="A7" s="4" t="s">
        <v>350</v>
      </c>
      <c r="B7" s="4" t="s">
        <v>351</v>
      </c>
      <c r="C7" s="5">
        <f>SUM(C4:C6)</f>
        <v>11320000</v>
      </c>
      <c r="D7" s="5">
        <f>SUM(D4:D6)</f>
        <v>10838690</v>
      </c>
      <c r="E7" s="5">
        <f>SUM(E4:E6)</f>
        <v>3579535</v>
      </c>
      <c r="F7" s="11">
        <f t="shared" si="0"/>
        <v>0.33025531683256926</v>
      </c>
    </row>
    <row r="8" spans="1:12" x14ac:dyDescent="0.25">
      <c r="A8" t="s">
        <v>714</v>
      </c>
      <c r="B8" t="s">
        <v>352</v>
      </c>
      <c r="C8" s="3">
        <v>1000000</v>
      </c>
      <c r="D8" s="3">
        <v>1000000</v>
      </c>
      <c r="E8" s="3">
        <f>440470+210000+12700</f>
        <v>663170</v>
      </c>
      <c r="F8" s="10">
        <f t="shared" si="0"/>
        <v>0.66317000000000004</v>
      </c>
    </row>
    <row r="9" spans="1:12" s="4" customFormat="1" x14ac:dyDescent="0.25">
      <c r="A9" s="4" t="s">
        <v>55</v>
      </c>
      <c r="B9" s="4" t="s">
        <v>56</v>
      </c>
      <c r="C9" s="5">
        <f>SUM(C8:C8)</f>
        <v>1000000</v>
      </c>
      <c r="D9" s="5">
        <f>SUM(D8:D8)</f>
        <v>1000000</v>
      </c>
      <c r="E9" s="5">
        <f>SUM(E8:E8)</f>
        <v>663170</v>
      </c>
      <c r="F9" s="11">
        <f t="shared" si="0"/>
        <v>0.66317000000000004</v>
      </c>
    </row>
    <row r="10" spans="1:12" x14ac:dyDescent="0.25">
      <c r="C10" s="3"/>
      <c r="D10" s="3"/>
      <c r="E10" s="3"/>
      <c r="F10" s="10"/>
    </row>
    <row r="11" spans="1:12" s="8" customFormat="1" ht="15.75" x14ac:dyDescent="0.25">
      <c r="B11" s="8" t="s">
        <v>57</v>
      </c>
      <c r="C11" s="9">
        <f>C9+C7</f>
        <v>12320000</v>
      </c>
      <c r="D11" s="9">
        <f t="shared" ref="D11:E11" si="1">D9+D7</f>
        <v>11838690</v>
      </c>
      <c r="E11" s="9">
        <f t="shared" si="1"/>
        <v>4242705</v>
      </c>
      <c r="F11" s="11">
        <f t="shared" si="0"/>
        <v>0.35837622236919792</v>
      </c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ht="15.75" x14ac:dyDescent="0.25">
      <c r="B14" s="42" t="s">
        <v>58</v>
      </c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A16" t="s">
        <v>353</v>
      </c>
      <c r="B16" t="s">
        <v>354</v>
      </c>
      <c r="C16" s="3">
        <v>150000</v>
      </c>
      <c r="D16" s="3">
        <f>150000+249210+356271</f>
        <v>755481</v>
      </c>
      <c r="E16" s="3">
        <f>138750+8750</f>
        <v>147500</v>
      </c>
      <c r="F16" s="10">
        <f t="shared" ref="F16" si="2">E16/D16</f>
        <v>0.19523985381498674</v>
      </c>
    </row>
    <row r="17" spans="2:6" s="8" customFormat="1" ht="15.75" x14ac:dyDescent="0.25">
      <c r="B17" s="8" t="s">
        <v>131</v>
      </c>
      <c r="C17" s="9">
        <f>SUM(C16:C16)</f>
        <v>150000</v>
      </c>
      <c r="D17" s="9">
        <f>SUM(D16:D16)</f>
        <v>755481</v>
      </c>
      <c r="E17" s="9">
        <f>SUM(E16:E16)</f>
        <v>147500</v>
      </c>
      <c r="F17" s="11">
        <f t="shared" ref="F17" si="3">E17/D17</f>
        <v>0.19523985381498674</v>
      </c>
    </row>
    <row r="18" spans="2:6" x14ac:dyDescent="0.25">
      <c r="C18" s="3"/>
      <c r="D18" s="3"/>
      <c r="E18" s="3"/>
    </row>
    <row r="19" spans="2:6" x14ac:dyDescent="0.25">
      <c r="C19" s="3"/>
      <c r="D19" s="3"/>
      <c r="E19" s="3"/>
    </row>
    <row r="20" spans="2:6" x14ac:dyDescent="0.25">
      <c r="C20" s="3"/>
      <c r="D20" s="3"/>
      <c r="E20" s="3"/>
    </row>
    <row r="21" spans="2:6" x14ac:dyDescent="0.25">
      <c r="C21" s="3"/>
      <c r="D21" s="3"/>
      <c r="E21" s="3"/>
    </row>
    <row r="22" spans="2:6" x14ac:dyDescent="0.25">
      <c r="C22" s="3"/>
      <c r="D22" s="3"/>
      <c r="E22" s="3"/>
    </row>
    <row r="23" spans="2:6" x14ac:dyDescent="0.25">
      <c r="C23" s="3"/>
      <c r="D23" s="3"/>
      <c r="E23" s="3"/>
    </row>
    <row r="24" spans="2:6" x14ac:dyDescent="0.25">
      <c r="C24" s="3"/>
      <c r="D24" s="3"/>
      <c r="E24" s="3"/>
    </row>
    <row r="25" spans="2:6" x14ac:dyDescent="0.25">
      <c r="C25" s="3"/>
      <c r="D25" s="3"/>
      <c r="E25" s="3"/>
    </row>
    <row r="26" spans="2:6" x14ac:dyDescent="0.25">
      <c r="C26" s="3"/>
      <c r="D26" s="3"/>
      <c r="E26" s="3"/>
    </row>
    <row r="27" spans="2:6" x14ac:dyDescent="0.25">
      <c r="C27" s="3"/>
      <c r="D27" s="3"/>
      <c r="E27" s="3"/>
    </row>
    <row r="28" spans="2:6" x14ac:dyDescent="0.25">
      <c r="C28" s="3"/>
      <c r="D28" s="3"/>
      <c r="E28" s="3"/>
    </row>
    <row r="29" spans="2:6" x14ac:dyDescent="0.25">
      <c r="C29" s="3"/>
      <c r="D29" s="3"/>
      <c r="E29" s="3"/>
    </row>
    <row r="30" spans="2:6" x14ac:dyDescent="0.25">
      <c r="C30" s="3"/>
      <c r="D30" s="3"/>
      <c r="E30" s="3"/>
    </row>
    <row r="31" spans="2:6" x14ac:dyDescent="0.25">
      <c r="C31" s="3"/>
      <c r="D31" s="3"/>
      <c r="E31" s="3"/>
    </row>
    <row r="32" spans="2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</sheetData>
  <mergeCells count="1">
    <mergeCell ref="B2:F2"/>
  </mergeCells>
  <pageMargins left="0.7" right="0.7" top="0.75" bottom="0.75" header="0.3" footer="0.3"/>
  <pageSetup paperSize="9" scale="71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1:L435"/>
  <sheetViews>
    <sheetView zoomScaleNormal="100" workbookViewId="0">
      <selection activeCell="D10" sqref="D10"/>
    </sheetView>
  </sheetViews>
  <sheetFormatPr defaultRowHeight="15" x14ac:dyDescent="0.25"/>
  <cols>
    <col min="2" max="2" width="52.8554687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122</v>
      </c>
      <c r="B2" s="120" t="s">
        <v>123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30</v>
      </c>
      <c r="B4" t="s">
        <v>410</v>
      </c>
      <c r="C4" s="3">
        <v>1035000</v>
      </c>
      <c r="D4" s="3">
        <v>1035000</v>
      </c>
      <c r="E4" s="3">
        <v>1035000</v>
      </c>
      <c r="F4" s="10">
        <f>E4/D4</f>
        <v>1</v>
      </c>
    </row>
    <row r="5" spans="1:12" s="4" customFormat="1" x14ac:dyDescent="0.25">
      <c r="A5" s="4" t="s">
        <v>52</v>
      </c>
      <c r="B5" s="4" t="s">
        <v>380</v>
      </c>
      <c r="C5" s="5">
        <f>SUM(C4:C4)</f>
        <v>1035000</v>
      </c>
      <c r="D5" s="5">
        <f>SUM(D4:D4)</f>
        <v>1035000</v>
      </c>
      <c r="E5" s="5">
        <f>SUM(E4:E4)</f>
        <v>1035000</v>
      </c>
      <c r="F5" s="11">
        <f t="shared" ref="F5:F7" si="0">E5/D5</f>
        <v>1</v>
      </c>
    </row>
    <row r="6" spans="1:12" x14ac:dyDescent="0.25">
      <c r="C6" s="3"/>
      <c r="D6" s="3"/>
      <c r="E6" s="3"/>
      <c r="F6" s="10"/>
    </row>
    <row r="7" spans="1:12" s="8" customFormat="1" ht="15.75" x14ac:dyDescent="0.25">
      <c r="B7" s="8" t="s">
        <v>57</v>
      </c>
      <c r="C7" s="9">
        <f>C5</f>
        <v>1035000</v>
      </c>
      <c r="D7" s="9">
        <f>D5</f>
        <v>1035000</v>
      </c>
      <c r="E7" s="9">
        <f t="shared" ref="E7" si="1">E5</f>
        <v>1035000</v>
      </c>
      <c r="F7" s="11">
        <f t="shared" si="0"/>
        <v>1</v>
      </c>
    </row>
    <row r="8" spans="1:12" x14ac:dyDescent="0.25">
      <c r="C8" s="3"/>
      <c r="D8" s="3"/>
      <c r="E8" s="3"/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</sheetData>
  <mergeCells count="1">
    <mergeCell ref="B2:F2"/>
  </mergeCells>
  <pageMargins left="0.7" right="0.7" top="0.75" bottom="0.75" header="0.3" footer="0.3"/>
  <pageSetup paperSize="9" scale="71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1:L440"/>
  <sheetViews>
    <sheetView zoomScaleNormal="100" workbookViewId="0">
      <selection activeCell="E20" sqref="E20"/>
    </sheetView>
  </sheetViews>
  <sheetFormatPr defaultRowHeight="15" x14ac:dyDescent="0.25"/>
  <cols>
    <col min="2" max="2" width="55.5703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360</v>
      </c>
      <c r="B2" s="120" t="s">
        <v>361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58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362</v>
      </c>
      <c r="B4" t="s">
        <v>363</v>
      </c>
      <c r="C4" s="3">
        <v>50000</v>
      </c>
      <c r="D4" s="3">
        <v>50000</v>
      </c>
      <c r="E4" s="3"/>
      <c r="F4" s="10">
        <f>E4/D4</f>
        <v>0</v>
      </c>
    </row>
    <row r="5" spans="1:12" x14ac:dyDescent="0.25">
      <c r="A5" t="s">
        <v>364</v>
      </c>
      <c r="B5" t="s">
        <v>365</v>
      </c>
      <c r="C5" s="3">
        <v>36000000</v>
      </c>
      <c r="D5" s="3">
        <v>36000000</v>
      </c>
      <c r="E5" s="3">
        <v>18300322</v>
      </c>
      <c r="F5" s="10">
        <f t="shared" ref="F5:F13" si="0">E5/D5</f>
        <v>0.50834227777777774</v>
      </c>
    </row>
    <row r="6" spans="1:12" x14ac:dyDescent="0.25">
      <c r="B6" t="s">
        <v>366</v>
      </c>
      <c r="C6" s="3">
        <v>550000</v>
      </c>
      <c r="D6" s="3">
        <v>550000</v>
      </c>
      <c r="E6" s="3">
        <v>330691</v>
      </c>
      <c r="F6" s="10">
        <f t="shared" si="0"/>
        <v>0.60125636363636359</v>
      </c>
    </row>
    <row r="7" spans="1:12" x14ac:dyDescent="0.25">
      <c r="A7" t="s">
        <v>367</v>
      </c>
      <c r="B7" t="s">
        <v>368</v>
      </c>
      <c r="C7" s="3">
        <v>230000000</v>
      </c>
      <c r="D7" s="3">
        <v>244417063</v>
      </c>
      <c r="E7" s="3">
        <v>178255351</v>
      </c>
      <c r="F7" s="10">
        <f t="shared" si="0"/>
        <v>0.72930812935920108</v>
      </c>
    </row>
    <row r="8" spans="1:12" x14ac:dyDescent="0.25">
      <c r="A8" t="s">
        <v>369</v>
      </c>
      <c r="B8" t="s">
        <v>370</v>
      </c>
      <c r="C8" s="3">
        <v>500000</v>
      </c>
      <c r="D8" s="3">
        <v>500000</v>
      </c>
      <c r="E8" s="3">
        <v>923600</v>
      </c>
      <c r="F8" s="10">
        <f t="shared" si="0"/>
        <v>1.8472</v>
      </c>
    </row>
    <row r="9" spans="1:12" x14ac:dyDescent="0.25">
      <c r="B9" s="56" t="s">
        <v>728</v>
      </c>
      <c r="C9" s="3"/>
      <c r="D9" s="3"/>
      <c r="E9" s="3">
        <f>193287+15000</f>
        <v>208287</v>
      </c>
      <c r="F9" s="10"/>
    </row>
    <row r="10" spans="1:12" x14ac:dyDescent="0.25">
      <c r="B10" t="s">
        <v>371</v>
      </c>
      <c r="C10" s="3">
        <v>2000000</v>
      </c>
      <c r="D10" s="3">
        <v>2000000</v>
      </c>
      <c r="E10" s="3">
        <v>1119563</v>
      </c>
      <c r="F10" s="10">
        <f t="shared" si="0"/>
        <v>0.55978150000000004</v>
      </c>
    </row>
    <row r="11" spans="1:12" s="4" customFormat="1" x14ac:dyDescent="0.25">
      <c r="A11" s="4" t="s">
        <v>372</v>
      </c>
      <c r="B11" s="4" t="s">
        <v>373</v>
      </c>
      <c r="C11" s="5">
        <f>SUM(C4:C10)</f>
        <v>269100000</v>
      </c>
      <c r="D11" s="5">
        <f>SUM(D4:D10)</f>
        <v>283517063</v>
      </c>
      <c r="E11" s="5">
        <f>SUM(E4:E10)</f>
        <v>199137814</v>
      </c>
      <c r="F11" s="11">
        <f t="shared" si="0"/>
        <v>0.70238387733298435</v>
      </c>
    </row>
    <row r="12" spans="1:12" ht="30" x14ac:dyDescent="0.25">
      <c r="A12" t="s">
        <v>129</v>
      </c>
      <c r="B12" s="73" t="s">
        <v>729</v>
      </c>
      <c r="C12" s="3">
        <v>0</v>
      </c>
      <c r="D12" s="3">
        <v>0</v>
      </c>
      <c r="E12" s="3">
        <v>90203</v>
      </c>
      <c r="F12" s="10"/>
    </row>
    <row r="13" spans="1:12" s="8" customFormat="1" ht="15.75" x14ac:dyDescent="0.25">
      <c r="B13" s="8" t="s">
        <v>131</v>
      </c>
      <c r="C13" s="9">
        <f>SUM(C11:C12)</f>
        <v>269100000</v>
      </c>
      <c r="D13" s="9">
        <f t="shared" ref="D13:E13" si="1">SUM(D11:D12)</f>
        <v>283517063</v>
      </c>
      <c r="E13" s="9">
        <f t="shared" si="1"/>
        <v>199228017</v>
      </c>
      <c r="F13" s="11">
        <f t="shared" si="0"/>
        <v>0.70270203455091518</v>
      </c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</sheetData>
  <mergeCells count="1">
    <mergeCell ref="B2:F2"/>
  </mergeCells>
  <pageMargins left="0.7" right="0.7" top="0.75" bottom="0.75" header="0.3" footer="0.3"/>
  <pageSetup paperSize="9" scale="7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L436"/>
  <sheetViews>
    <sheetView zoomScaleNormal="100" workbookViewId="0">
      <selection activeCell="B24" sqref="B24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374</v>
      </c>
      <c r="B2" s="120" t="s">
        <v>376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58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377</v>
      </c>
      <c r="B4" t="s">
        <v>378</v>
      </c>
      <c r="C4" s="3">
        <v>2000000</v>
      </c>
      <c r="D4" s="3">
        <v>2000000</v>
      </c>
      <c r="E4" s="3">
        <f>670684+795617</f>
        <v>1466301</v>
      </c>
      <c r="F4" s="10">
        <f>E4/D4</f>
        <v>0.73315050000000004</v>
      </c>
    </row>
    <row r="5" spans="1:12" s="4" customFormat="1" x14ac:dyDescent="0.25">
      <c r="A5" s="4" t="s">
        <v>172</v>
      </c>
      <c r="B5" s="4" t="s">
        <v>379</v>
      </c>
      <c r="C5" s="5">
        <f>SUM(C4:C4)</f>
        <v>2000000</v>
      </c>
      <c r="D5" s="5">
        <f>SUM(D4:D4)</f>
        <v>2000000</v>
      </c>
      <c r="E5" s="5">
        <f>SUM(E4:E4)</f>
        <v>1466301</v>
      </c>
      <c r="F5" s="11">
        <f t="shared" ref="F5:F7" si="0">E5/D5</f>
        <v>0.73315050000000004</v>
      </c>
    </row>
    <row r="6" spans="1:12" x14ac:dyDescent="0.25">
      <c r="C6" s="3"/>
      <c r="D6" s="3"/>
      <c r="E6" s="3"/>
      <c r="F6" s="10"/>
    </row>
    <row r="7" spans="1:12" s="8" customFormat="1" ht="15.75" x14ac:dyDescent="0.25">
      <c r="B7" s="8" t="s">
        <v>131</v>
      </c>
      <c r="C7" s="9">
        <f>C5</f>
        <v>2000000</v>
      </c>
      <c r="D7" s="9">
        <f t="shared" ref="D7:E7" si="1">D5</f>
        <v>2000000</v>
      </c>
      <c r="E7" s="9">
        <f t="shared" si="1"/>
        <v>1466301</v>
      </c>
      <c r="F7" s="11">
        <f t="shared" si="0"/>
        <v>0.73315050000000004</v>
      </c>
    </row>
    <row r="8" spans="1:12" x14ac:dyDescent="0.25">
      <c r="B8" s="43"/>
      <c r="C8" s="3"/>
      <c r="D8" s="3"/>
      <c r="E8" s="3"/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1:L443"/>
  <sheetViews>
    <sheetView zoomScaleNormal="100" workbookViewId="0">
      <selection activeCell="C19" sqref="C19"/>
    </sheetView>
  </sheetViews>
  <sheetFormatPr defaultRowHeight="15" x14ac:dyDescent="0.25"/>
  <cols>
    <col min="2" max="2" width="53.7109375" bestFit="1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/>
      <c r="B2" s="120" t="s">
        <v>124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355</v>
      </c>
      <c r="B4" t="s">
        <v>356</v>
      </c>
      <c r="C4" s="3">
        <v>1000000</v>
      </c>
      <c r="D4" s="3">
        <v>1000000</v>
      </c>
      <c r="E4" s="75"/>
      <c r="F4" s="75"/>
    </row>
    <row r="5" spans="1:12" x14ac:dyDescent="0.25">
      <c r="B5" t="s">
        <v>357</v>
      </c>
      <c r="C5" s="3">
        <v>29937976</v>
      </c>
      <c r="D5" s="3">
        <f>29937976-15698982-6606800+2143616-300000-63180-1500000-700000-577500-132000</f>
        <v>6503130</v>
      </c>
      <c r="E5" s="75"/>
      <c r="F5" s="75"/>
    </row>
    <row r="6" spans="1:12" x14ac:dyDescent="0.25">
      <c r="B6" t="s">
        <v>383</v>
      </c>
      <c r="C6" s="3">
        <v>0</v>
      </c>
      <c r="D6" s="3">
        <f>-4520000-4980000+59100289-12093265-3405-4006402-710355-1453516-438150</f>
        <v>30895196</v>
      </c>
      <c r="E6" s="75"/>
      <c r="F6" s="75"/>
    </row>
    <row r="7" spans="1:12" x14ac:dyDescent="0.25">
      <c r="B7" t="s">
        <v>553</v>
      </c>
      <c r="C7" s="3">
        <v>5243063</v>
      </c>
      <c r="D7" s="3">
        <f>5243063+3405</f>
        <v>5246468</v>
      </c>
      <c r="E7" s="75"/>
      <c r="F7" s="75"/>
    </row>
    <row r="8" spans="1:12" x14ac:dyDescent="0.25">
      <c r="B8" t="s">
        <v>552</v>
      </c>
      <c r="C8" s="3">
        <v>500000</v>
      </c>
      <c r="D8" s="3">
        <v>500000</v>
      </c>
      <c r="E8" s="75"/>
      <c r="F8" s="75"/>
    </row>
    <row r="9" spans="1:12" x14ac:dyDescent="0.25">
      <c r="B9" t="s">
        <v>358</v>
      </c>
      <c r="C9" s="3">
        <v>450000</v>
      </c>
      <c r="D9" s="3">
        <v>450000</v>
      </c>
      <c r="E9" s="75"/>
      <c r="F9" s="75"/>
    </row>
    <row r="10" spans="1:12" x14ac:dyDescent="0.25">
      <c r="B10" t="s">
        <v>554</v>
      </c>
      <c r="C10" s="3">
        <v>5000000</v>
      </c>
      <c r="D10" s="3">
        <f>5000000-4048000</f>
        <v>952000</v>
      </c>
      <c r="E10" s="75"/>
      <c r="F10" s="75"/>
    </row>
    <row r="11" spans="1:12" x14ac:dyDescent="0.25">
      <c r="B11" t="s">
        <v>715</v>
      </c>
      <c r="C11" s="3">
        <v>0</v>
      </c>
      <c r="D11" s="3">
        <v>12000000</v>
      </c>
      <c r="E11" s="75"/>
      <c r="F11" s="75"/>
    </row>
    <row r="12" spans="1:12" s="4" customFormat="1" x14ac:dyDescent="0.25">
      <c r="A12" s="4" t="s">
        <v>55</v>
      </c>
      <c r="B12" s="4" t="s">
        <v>359</v>
      </c>
      <c r="C12" s="5">
        <f>SUM(C4:C11)</f>
        <v>42131039</v>
      </c>
      <c r="D12" s="5">
        <f>SUM(D4:D11)</f>
        <v>57546794</v>
      </c>
      <c r="E12" s="76"/>
      <c r="F12" s="76"/>
    </row>
    <row r="13" spans="1:12" x14ac:dyDescent="0.25">
      <c r="C13" s="3"/>
      <c r="D13" s="3"/>
      <c r="E13" s="75"/>
      <c r="F13" s="75"/>
    </row>
    <row r="14" spans="1:12" s="8" customFormat="1" ht="15.75" x14ac:dyDescent="0.25">
      <c r="B14" s="8" t="s">
        <v>57</v>
      </c>
      <c r="C14" s="9">
        <f>C12</f>
        <v>42131039</v>
      </c>
      <c r="D14" s="9">
        <f t="shared" ref="D14" si="0">D12</f>
        <v>57546794</v>
      </c>
      <c r="E14" s="77"/>
      <c r="F14" s="77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</sheetData>
  <mergeCells count="1">
    <mergeCell ref="B2:F2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M486"/>
  <sheetViews>
    <sheetView topLeftCell="A26" zoomScaleNormal="100" workbookViewId="0">
      <selection activeCell="F56" sqref="F56"/>
    </sheetView>
  </sheetViews>
  <sheetFormatPr defaultRowHeight="15" x14ac:dyDescent="0.25"/>
  <cols>
    <col min="2" max="2" width="58.7109375" customWidth="1"/>
    <col min="3" max="3" width="14.7109375" customWidth="1"/>
    <col min="4" max="4" width="13.5703125" customWidth="1"/>
    <col min="5" max="5" width="11.5703125" customWidth="1"/>
    <col min="6" max="6" width="13.7109375" bestFit="1" customWidth="1"/>
    <col min="7" max="7" width="4.28515625" customWidth="1"/>
    <col min="8" max="8" width="35.140625" customWidth="1"/>
    <col min="9" max="9" width="11.42578125" customWidth="1"/>
    <col min="10" max="10" width="11.85546875" customWidth="1"/>
    <col min="11" max="11" width="9.28515625" customWidth="1"/>
    <col min="12" max="12" width="9" customWidth="1"/>
  </cols>
  <sheetData>
    <row r="1" spans="1:13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3" s="2" customFormat="1" x14ac:dyDescent="0.25">
      <c r="A2" s="1" t="s">
        <v>64</v>
      </c>
      <c r="B2" s="120" t="s">
        <v>161</v>
      </c>
      <c r="C2" s="120"/>
      <c r="D2" s="120"/>
      <c r="E2" s="120"/>
      <c r="F2" s="120"/>
      <c r="G2" s="6"/>
      <c r="H2" s="6" t="s">
        <v>642</v>
      </c>
    </row>
    <row r="3" spans="1:13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7" t="s">
        <v>4</v>
      </c>
      <c r="J3" s="7" t="s">
        <v>5</v>
      </c>
      <c r="K3" s="7" t="s">
        <v>6</v>
      </c>
      <c r="L3" s="7" t="s">
        <v>7</v>
      </c>
    </row>
    <row r="4" spans="1:13" x14ac:dyDescent="0.25">
      <c r="A4" t="s">
        <v>20</v>
      </c>
      <c r="B4" t="s">
        <v>134</v>
      </c>
      <c r="C4" s="3">
        <v>408661</v>
      </c>
      <c r="D4" s="3">
        <f>408661+4761128</f>
        <v>5169789</v>
      </c>
      <c r="E4" s="100"/>
      <c r="F4" s="121">
        <f>E4/(D4+D5+D6)</f>
        <v>0</v>
      </c>
      <c r="H4" s="4" t="s">
        <v>145</v>
      </c>
    </row>
    <row r="5" spans="1:13" x14ac:dyDescent="0.25">
      <c r="B5" t="s">
        <v>135</v>
      </c>
      <c r="C5" s="3">
        <v>1389764</v>
      </c>
      <c r="D5" s="3">
        <v>1389764</v>
      </c>
      <c r="E5" s="100"/>
      <c r="F5" s="121"/>
      <c r="H5" t="s">
        <v>632</v>
      </c>
      <c r="I5" s="3">
        <v>3000000</v>
      </c>
      <c r="J5" s="3">
        <v>3000000</v>
      </c>
      <c r="K5" s="3">
        <f>102000+252000</f>
        <v>354000</v>
      </c>
      <c r="L5" s="3">
        <f t="shared" ref="L5:L18" si="0">K5/J5</f>
        <v>0.11799999999999999</v>
      </c>
      <c r="M5" s="3"/>
    </row>
    <row r="6" spans="1:13" x14ac:dyDescent="0.25">
      <c r="B6" t="s">
        <v>136</v>
      </c>
      <c r="C6" s="3">
        <v>3188976</v>
      </c>
      <c r="D6" s="3">
        <v>984252</v>
      </c>
      <c r="E6" s="100">
        <f>94394+92320+25819+12393+221244+6977+31219+32873</f>
        <v>517239</v>
      </c>
      <c r="F6" s="121"/>
      <c r="H6" t="s">
        <v>633</v>
      </c>
      <c r="I6" s="3">
        <v>500000</v>
      </c>
      <c r="J6" s="3">
        <v>500000</v>
      </c>
      <c r="K6" s="3"/>
      <c r="L6" s="3">
        <f t="shared" si="0"/>
        <v>0</v>
      </c>
      <c r="M6" s="3"/>
    </row>
    <row r="7" spans="1:13" x14ac:dyDescent="0.25">
      <c r="A7" t="s">
        <v>25</v>
      </c>
      <c r="B7" t="s">
        <v>137</v>
      </c>
      <c r="C7" s="3">
        <v>7600</v>
      </c>
      <c r="D7" s="3">
        <v>7600</v>
      </c>
      <c r="E7" s="3">
        <v>5100</v>
      </c>
      <c r="F7" s="10">
        <f t="shared" ref="F7:F39" si="1">E7/D7</f>
        <v>0.67105263157894735</v>
      </c>
      <c r="H7" t="s">
        <v>634</v>
      </c>
      <c r="I7" s="3">
        <v>30000</v>
      </c>
      <c r="J7" s="3">
        <v>30000</v>
      </c>
      <c r="K7" s="3"/>
      <c r="L7" s="3">
        <f t="shared" si="0"/>
        <v>0</v>
      </c>
      <c r="M7" s="3"/>
    </row>
    <row r="8" spans="1:13" x14ac:dyDescent="0.25">
      <c r="B8" t="s">
        <v>658</v>
      </c>
      <c r="C8" s="3">
        <v>0</v>
      </c>
      <c r="D8" s="3">
        <v>0</v>
      </c>
      <c r="E8" s="3">
        <v>20800</v>
      </c>
      <c r="F8" s="10"/>
      <c r="I8" s="3"/>
      <c r="J8" s="3"/>
      <c r="K8" s="3"/>
      <c r="L8" s="3"/>
      <c r="M8" s="3"/>
    </row>
    <row r="9" spans="1:13" x14ac:dyDescent="0.25">
      <c r="B9" t="s">
        <v>657</v>
      </c>
      <c r="C9" s="3">
        <v>0</v>
      </c>
      <c r="D9" s="3">
        <v>0</v>
      </c>
      <c r="E9" s="3">
        <v>7150</v>
      </c>
      <c r="F9" s="10"/>
      <c r="I9" s="3"/>
      <c r="J9" s="3"/>
      <c r="K9" s="3"/>
      <c r="L9" s="3"/>
      <c r="M9" s="3"/>
    </row>
    <row r="10" spans="1:13" x14ac:dyDescent="0.25">
      <c r="A10" t="s">
        <v>138</v>
      </c>
      <c r="B10" t="s">
        <v>139</v>
      </c>
      <c r="C10" s="3">
        <v>810000</v>
      </c>
      <c r="D10" s="3">
        <v>810000</v>
      </c>
      <c r="E10" s="3">
        <f>410106+2047</f>
        <v>412153</v>
      </c>
      <c r="F10" s="10">
        <f t="shared" si="1"/>
        <v>0.50883086419753087</v>
      </c>
      <c r="H10" s="4" t="s">
        <v>635</v>
      </c>
      <c r="I10" s="5">
        <f>SUM(I5:I7)</f>
        <v>3530000</v>
      </c>
      <c r="J10" s="5">
        <f t="shared" ref="J10:K10" si="2">SUM(J5:J7)</f>
        <v>3530000</v>
      </c>
      <c r="K10" s="5">
        <f t="shared" si="2"/>
        <v>354000</v>
      </c>
      <c r="L10" s="5">
        <f t="shared" si="0"/>
        <v>0.10028328611898017</v>
      </c>
      <c r="M10" s="3"/>
    </row>
    <row r="11" spans="1:13" x14ac:dyDescent="0.25">
      <c r="A11" t="s">
        <v>140</v>
      </c>
      <c r="B11" t="s">
        <v>141</v>
      </c>
      <c r="C11" s="3">
        <v>1402000</v>
      </c>
      <c r="D11" s="3">
        <v>1402000</v>
      </c>
      <c r="E11" s="3">
        <v>660707</v>
      </c>
      <c r="F11" s="10">
        <f t="shared" si="1"/>
        <v>0.47126034236804565</v>
      </c>
      <c r="I11" s="3"/>
      <c r="J11" s="3"/>
      <c r="K11" s="3"/>
      <c r="L11" s="3"/>
      <c r="M11" s="3"/>
    </row>
    <row r="12" spans="1:13" x14ac:dyDescent="0.25">
      <c r="A12" t="s">
        <v>142</v>
      </c>
      <c r="B12" t="s">
        <v>143</v>
      </c>
      <c r="C12" s="3">
        <v>270000</v>
      </c>
      <c r="D12" s="3">
        <v>270000</v>
      </c>
      <c r="E12" s="3">
        <f>233213+5188</f>
        <v>238401</v>
      </c>
      <c r="F12" s="10">
        <f t="shared" si="1"/>
        <v>0.88296666666666668</v>
      </c>
      <c r="I12" s="3"/>
      <c r="J12" s="3"/>
      <c r="K12" s="3"/>
      <c r="L12" s="3"/>
      <c r="M12" s="3"/>
    </row>
    <row r="13" spans="1:13" x14ac:dyDescent="0.25">
      <c r="A13" t="s">
        <v>29</v>
      </c>
      <c r="B13" t="s">
        <v>144</v>
      </c>
      <c r="C13" s="3">
        <v>408661</v>
      </c>
      <c r="D13" s="3">
        <f>408661+4761128</f>
        <v>5169789</v>
      </c>
      <c r="E13" s="3"/>
      <c r="F13" s="10">
        <f t="shared" si="1"/>
        <v>0</v>
      </c>
      <c r="H13" s="4" t="s">
        <v>636</v>
      </c>
      <c r="I13" s="3"/>
      <c r="J13" s="3"/>
      <c r="K13" s="3"/>
      <c r="L13" s="3"/>
      <c r="M13" s="3"/>
    </row>
    <row r="14" spans="1:13" x14ac:dyDescent="0.25">
      <c r="B14" t="s">
        <v>145</v>
      </c>
      <c r="C14" s="3">
        <v>1389764</v>
      </c>
      <c r="D14" s="3">
        <v>1389764</v>
      </c>
      <c r="E14" s="3">
        <f>102000+19000+252000</f>
        <v>373000</v>
      </c>
      <c r="F14" s="10">
        <f t="shared" si="1"/>
        <v>0.26839089226660068</v>
      </c>
      <c r="H14" t="s">
        <v>637</v>
      </c>
      <c r="I14" s="3">
        <v>2000000</v>
      </c>
      <c r="J14" s="3">
        <v>0</v>
      </c>
      <c r="K14" s="3"/>
      <c r="L14" s="3"/>
      <c r="M14" s="3"/>
    </row>
    <row r="15" spans="1:13" x14ac:dyDescent="0.25">
      <c r="B15" t="s">
        <v>146</v>
      </c>
      <c r="C15" s="3">
        <v>3188976</v>
      </c>
      <c r="D15" s="3">
        <v>984251</v>
      </c>
      <c r="E15" s="3">
        <f>15000+11500+242000+34000</f>
        <v>302500</v>
      </c>
      <c r="F15" s="10">
        <f t="shared" si="1"/>
        <v>0.30734030242285759</v>
      </c>
      <c r="H15" t="s">
        <v>638</v>
      </c>
      <c r="I15" s="3">
        <v>2000000</v>
      </c>
      <c r="J15" s="3">
        <v>0</v>
      </c>
      <c r="K15" s="3"/>
      <c r="L15" s="3"/>
      <c r="M15" s="3"/>
    </row>
    <row r="16" spans="1:13" x14ac:dyDescent="0.25">
      <c r="A16" t="s">
        <v>147</v>
      </c>
      <c r="B16" t="s">
        <v>437</v>
      </c>
      <c r="C16" s="3">
        <v>1955000</v>
      </c>
      <c r="D16" s="3">
        <v>1955000</v>
      </c>
      <c r="E16" s="3">
        <v>521526</v>
      </c>
      <c r="F16" s="10">
        <f t="shared" si="1"/>
        <v>0.26676521739130432</v>
      </c>
      <c r="H16" t="s">
        <v>640</v>
      </c>
      <c r="I16" s="3">
        <v>2500000</v>
      </c>
      <c r="J16" s="3">
        <v>2500000</v>
      </c>
      <c r="K16" s="3"/>
      <c r="L16" s="3">
        <f t="shared" si="0"/>
        <v>0</v>
      </c>
      <c r="M16" s="3"/>
    </row>
    <row r="17" spans="1:13" ht="18" customHeight="1" x14ac:dyDescent="0.25">
      <c r="A17" t="s">
        <v>30</v>
      </c>
      <c r="B17" s="43" t="s">
        <v>438</v>
      </c>
      <c r="C17" s="3">
        <v>121260</v>
      </c>
      <c r="D17" s="3">
        <v>121260</v>
      </c>
      <c r="E17" s="3"/>
      <c r="F17" s="10">
        <f t="shared" si="1"/>
        <v>0</v>
      </c>
      <c r="H17" t="s">
        <v>639</v>
      </c>
      <c r="I17" s="3">
        <v>1600000</v>
      </c>
      <c r="J17" s="3">
        <v>0</v>
      </c>
      <c r="K17" s="3"/>
      <c r="L17" s="3"/>
      <c r="M17" s="3"/>
    </row>
    <row r="18" spans="1:13" x14ac:dyDescent="0.25">
      <c r="A18" t="s">
        <v>36</v>
      </c>
      <c r="B18" t="s">
        <v>148</v>
      </c>
      <c r="C18" s="3">
        <v>200000</v>
      </c>
      <c r="D18" s="3">
        <v>200000</v>
      </c>
      <c r="E18" s="74">
        <f>19000+8190</f>
        <v>27190</v>
      </c>
      <c r="F18" s="10">
        <f t="shared" si="1"/>
        <v>0.13594999999999999</v>
      </c>
      <c r="H18" s="4" t="s">
        <v>641</v>
      </c>
      <c r="I18" s="5">
        <f>SUM(I14:I17)</f>
        <v>8100000</v>
      </c>
      <c r="J18" s="5">
        <f>SUM(J14:J17)</f>
        <v>2500000</v>
      </c>
      <c r="K18" s="5">
        <f>SUM(K14:K17)</f>
        <v>0</v>
      </c>
      <c r="L18" s="5">
        <f t="shared" si="0"/>
        <v>0</v>
      </c>
      <c r="M18" s="3"/>
    </row>
    <row r="19" spans="1:13" x14ac:dyDescent="0.25">
      <c r="B19" t="s">
        <v>149</v>
      </c>
      <c r="C19" s="3">
        <v>14907000</v>
      </c>
      <c r="D19" s="3">
        <v>14907000</v>
      </c>
      <c r="E19" s="74">
        <f>3726750+2484500+1242250</f>
        <v>7453500</v>
      </c>
      <c r="F19" s="10">
        <f t="shared" si="1"/>
        <v>0.5</v>
      </c>
      <c r="I19" s="3"/>
      <c r="J19" s="3"/>
      <c r="K19" s="3"/>
      <c r="L19" s="3"/>
      <c r="M19" s="3"/>
    </row>
    <row r="20" spans="1:13" x14ac:dyDescent="0.25">
      <c r="B20" t="s">
        <v>439</v>
      </c>
      <c r="C20" s="3">
        <v>43000</v>
      </c>
      <c r="D20" s="3">
        <v>43000</v>
      </c>
      <c r="E20" s="74">
        <v>42500</v>
      </c>
      <c r="F20" s="10">
        <f t="shared" si="1"/>
        <v>0.98837209302325579</v>
      </c>
      <c r="I20" s="3"/>
      <c r="J20" s="3"/>
      <c r="K20" s="3"/>
      <c r="L20" s="3"/>
      <c r="M20" s="3"/>
    </row>
    <row r="21" spans="1:13" x14ac:dyDescent="0.25">
      <c r="B21" t="s">
        <v>150</v>
      </c>
      <c r="C21" s="3">
        <v>50000</v>
      </c>
      <c r="D21" s="3">
        <v>50000</v>
      </c>
      <c r="E21" s="74"/>
      <c r="F21" s="10">
        <f t="shared" si="1"/>
        <v>0</v>
      </c>
      <c r="I21" s="3"/>
      <c r="J21" s="3"/>
      <c r="K21" s="3"/>
      <c r="L21" s="3"/>
      <c r="M21" s="3"/>
    </row>
    <row r="22" spans="1:13" x14ac:dyDescent="0.25">
      <c r="B22" t="s">
        <v>440</v>
      </c>
      <c r="C22" s="3">
        <v>2362205</v>
      </c>
      <c r="D22" s="3">
        <v>2362205</v>
      </c>
      <c r="E22" s="74"/>
      <c r="F22" s="10">
        <f t="shared" si="1"/>
        <v>0</v>
      </c>
      <c r="I22" s="3"/>
      <c r="J22" s="3"/>
      <c r="K22" s="3"/>
      <c r="L22" s="3"/>
      <c r="M22" s="3"/>
    </row>
    <row r="23" spans="1:13" x14ac:dyDescent="0.25">
      <c r="B23" t="s">
        <v>441</v>
      </c>
      <c r="C23" s="3">
        <v>200000</v>
      </c>
      <c r="D23" s="3">
        <v>200000</v>
      </c>
      <c r="E23" s="74">
        <f>35000+93500+25000</f>
        <v>153500</v>
      </c>
      <c r="F23" s="10">
        <f t="shared" si="1"/>
        <v>0.76749999999999996</v>
      </c>
      <c r="I23" s="3"/>
      <c r="J23" s="3"/>
      <c r="K23" s="3"/>
      <c r="L23" s="3"/>
      <c r="M23" s="3"/>
    </row>
    <row r="24" spans="1:13" x14ac:dyDescent="0.25">
      <c r="B24" t="s">
        <v>151</v>
      </c>
      <c r="C24" s="3">
        <v>3120000</v>
      </c>
      <c r="D24" s="3">
        <v>3120000</v>
      </c>
      <c r="E24" s="74">
        <v>1261414</v>
      </c>
      <c r="F24" s="10">
        <f t="shared" si="1"/>
        <v>0.40429935897435898</v>
      </c>
    </row>
    <row r="25" spans="1:13" x14ac:dyDescent="0.25">
      <c r="A25" t="s">
        <v>44</v>
      </c>
      <c r="B25" t="s">
        <v>45</v>
      </c>
      <c r="C25" s="3">
        <v>8744345</v>
      </c>
      <c r="D25" s="3">
        <v>10124803</v>
      </c>
      <c r="E25" s="3">
        <f>2682198-13500+1401+552</f>
        <v>2670651</v>
      </c>
      <c r="F25" s="10">
        <f t="shared" si="1"/>
        <v>0.26377313217847298</v>
      </c>
    </row>
    <row r="26" spans="1:13" s="4" customFormat="1" x14ac:dyDescent="0.25">
      <c r="A26" s="4" t="s">
        <v>52</v>
      </c>
      <c r="B26" s="4" t="s">
        <v>53</v>
      </c>
      <c r="C26" s="5">
        <f>SUM(C4:C25)</f>
        <v>44167212</v>
      </c>
      <c r="D26" s="5">
        <f>SUM(D4:D25)</f>
        <v>50660477</v>
      </c>
      <c r="E26" s="5">
        <f>SUM(E4:E25)</f>
        <v>14667331</v>
      </c>
      <c r="F26" s="11">
        <f t="shared" si="1"/>
        <v>0.28952216537558462</v>
      </c>
    </row>
    <row r="27" spans="1:13" x14ac:dyDescent="0.25">
      <c r="A27" t="s">
        <v>206</v>
      </c>
      <c r="B27" t="s">
        <v>152</v>
      </c>
      <c r="C27" s="3">
        <v>16653000</v>
      </c>
      <c r="D27" s="3">
        <f>16653000-6876000</f>
        <v>9777000</v>
      </c>
      <c r="E27" s="3">
        <v>9777000</v>
      </c>
      <c r="F27" s="10">
        <f t="shared" si="1"/>
        <v>1</v>
      </c>
    </row>
    <row r="28" spans="1:13" s="4" customFormat="1" x14ac:dyDescent="0.25">
      <c r="A28" s="4" t="s">
        <v>55</v>
      </c>
      <c r="B28" s="4" t="s">
        <v>56</v>
      </c>
      <c r="C28" s="5">
        <f>SUM(C27:C27)</f>
        <v>16653000</v>
      </c>
      <c r="D28" s="5">
        <f>SUM(D27:D27)</f>
        <v>9777000</v>
      </c>
      <c r="E28" s="5">
        <f>SUM(E27:E27)</f>
        <v>9777000</v>
      </c>
      <c r="F28" s="11">
        <f t="shared" si="1"/>
        <v>1</v>
      </c>
    </row>
    <row r="29" spans="1:13" x14ac:dyDescent="0.25">
      <c r="A29" t="s">
        <v>653</v>
      </c>
      <c r="B29" s="56" t="s">
        <v>652</v>
      </c>
      <c r="C29" s="56">
        <v>0</v>
      </c>
      <c r="D29" s="56">
        <v>132000</v>
      </c>
      <c r="E29" s="3">
        <v>0</v>
      </c>
      <c r="F29" s="10">
        <f t="shared" si="1"/>
        <v>0</v>
      </c>
    </row>
    <row r="30" spans="1:13" x14ac:dyDescent="0.25">
      <c r="A30" t="s">
        <v>653</v>
      </c>
      <c r="B30" s="56" t="s">
        <v>659</v>
      </c>
      <c r="C30" s="56">
        <v>0</v>
      </c>
      <c r="D30" s="56">
        <v>0</v>
      </c>
      <c r="E30" s="3">
        <f>75999+227709+20519+61481</f>
        <v>385708</v>
      </c>
      <c r="F30" s="10"/>
    </row>
    <row r="31" spans="1:13" s="4" customFormat="1" x14ac:dyDescent="0.25">
      <c r="A31" s="4" t="s">
        <v>232</v>
      </c>
      <c r="B31" s="4" t="s">
        <v>387</v>
      </c>
      <c r="C31" s="5">
        <f>SUM(C29)</f>
        <v>0</v>
      </c>
      <c r="D31" s="5">
        <f>SUM(D29:D30)</f>
        <v>132000</v>
      </c>
      <c r="E31" s="5">
        <f>SUM(E29:E30)</f>
        <v>385708</v>
      </c>
      <c r="F31" s="11">
        <f t="shared" si="1"/>
        <v>2.922030303030303</v>
      </c>
    </row>
    <row r="32" spans="1:13" s="4" customFormat="1" x14ac:dyDescent="0.25">
      <c r="A32" t="s">
        <v>558</v>
      </c>
      <c r="B32" s="56" t="s">
        <v>654</v>
      </c>
      <c r="C32" s="5">
        <v>0</v>
      </c>
      <c r="D32" s="3">
        <v>2000000</v>
      </c>
      <c r="E32" s="5"/>
      <c r="F32" s="10">
        <f t="shared" si="1"/>
        <v>0</v>
      </c>
    </row>
    <row r="33" spans="1:6" s="4" customFormat="1" x14ac:dyDescent="0.25">
      <c r="A33" t="s">
        <v>558</v>
      </c>
      <c r="B33" s="56" t="s">
        <v>655</v>
      </c>
      <c r="C33" s="5">
        <v>0</v>
      </c>
      <c r="D33" s="3">
        <v>2000000</v>
      </c>
      <c r="E33" s="3">
        <v>861000</v>
      </c>
      <c r="F33" s="10">
        <f t="shared" si="1"/>
        <v>0.43049999999999999</v>
      </c>
    </row>
    <row r="34" spans="1:6" x14ac:dyDescent="0.25">
      <c r="A34" t="s">
        <v>558</v>
      </c>
      <c r="B34" s="56" t="s">
        <v>656</v>
      </c>
      <c r="C34" s="3">
        <v>0</v>
      </c>
      <c r="D34" s="3">
        <v>1600000</v>
      </c>
      <c r="E34" s="3">
        <f>850900+592992+33346+160108+9004</f>
        <v>1646350</v>
      </c>
      <c r="F34" s="10">
        <f t="shared" si="1"/>
        <v>1.02896875</v>
      </c>
    </row>
    <row r="35" spans="1:6" s="4" customFormat="1" x14ac:dyDescent="0.25">
      <c r="A35" s="4" t="s">
        <v>155</v>
      </c>
      <c r="B35" s="4" t="s">
        <v>156</v>
      </c>
      <c r="C35" s="5">
        <f>SUM(C32:C34)</f>
        <v>0</v>
      </c>
      <c r="D35" s="5">
        <f t="shared" ref="D35:E35" si="3">SUM(D32:D34)</f>
        <v>5600000</v>
      </c>
      <c r="E35" s="5">
        <f t="shared" si="3"/>
        <v>2507350</v>
      </c>
      <c r="F35" s="11">
        <f t="shared" si="1"/>
        <v>0.44774107142857145</v>
      </c>
    </row>
    <row r="36" spans="1:6" x14ac:dyDescent="0.25">
      <c r="A36" t="s">
        <v>157</v>
      </c>
      <c r="B36" t="s">
        <v>158</v>
      </c>
      <c r="C36" s="3">
        <v>699840</v>
      </c>
      <c r="D36" s="3">
        <v>699840</v>
      </c>
      <c r="E36" s="3">
        <f>174960+116640</f>
        <v>291600</v>
      </c>
      <c r="F36" s="10">
        <f t="shared" si="1"/>
        <v>0.41666666666666669</v>
      </c>
    </row>
    <row r="37" spans="1:6" s="4" customFormat="1" x14ac:dyDescent="0.25">
      <c r="A37" s="4" t="s">
        <v>159</v>
      </c>
      <c r="B37" s="4" t="s">
        <v>160</v>
      </c>
      <c r="C37" s="5">
        <f>SUM(C36)</f>
        <v>699840</v>
      </c>
      <c r="D37" s="5">
        <f>SUM(D36)</f>
        <v>699840</v>
      </c>
      <c r="E37" s="5">
        <f>SUM(E36)</f>
        <v>291600</v>
      </c>
      <c r="F37" s="11">
        <f t="shared" si="1"/>
        <v>0.41666666666666669</v>
      </c>
    </row>
    <row r="38" spans="1:6" x14ac:dyDescent="0.25">
      <c r="B38" s="4"/>
      <c r="C38" s="3"/>
      <c r="D38" s="3"/>
      <c r="E38" s="3"/>
      <c r="F38" s="11"/>
    </row>
    <row r="39" spans="1:6" s="8" customFormat="1" ht="15.75" x14ac:dyDescent="0.25">
      <c r="B39" s="8" t="s">
        <v>57</v>
      </c>
      <c r="C39" s="9">
        <f>C28+C37+C35+C26</f>
        <v>61520052</v>
      </c>
      <c r="D39" s="9">
        <f>D28+D37+D35+D31+D26</f>
        <v>66869317</v>
      </c>
      <c r="E39" s="9">
        <f>E28+E37+E35+E31+E26</f>
        <v>27628989</v>
      </c>
      <c r="F39" s="11">
        <f t="shared" si="1"/>
        <v>0.41317887245655582</v>
      </c>
    </row>
    <row r="40" spans="1:6" x14ac:dyDescent="0.25">
      <c r="C40" s="3"/>
      <c r="D40" s="3"/>
      <c r="E40" s="3"/>
    </row>
    <row r="41" spans="1:6" x14ac:dyDescent="0.25">
      <c r="C41" s="3"/>
      <c r="D41" s="3"/>
      <c r="E41" s="3"/>
    </row>
    <row r="42" spans="1:6" ht="15.75" x14ac:dyDescent="0.25">
      <c r="B42" s="42" t="s">
        <v>58</v>
      </c>
      <c r="C42" s="3"/>
      <c r="D42" s="3"/>
      <c r="E42" s="3"/>
    </row>
    <row r="43" spans="1:6" x14ac:dyDescent="0.25">
      <c r="C43" s="3"/>
      <c r="D43" s="3"/>
      <c r="E43" s="3"/>
      <c r="F43" s="11"/>
    </row>
    <row r="44" spans="1:6" x14ac:dyDescent="0.25">
      <c r="A44" t="s">
        <v>162</v>
      </c>
      <c r="B44" t="s">
        <v>163</v>
      </c>
      <c r="C44" s="3">
        <v>5023036</v>
      </c>
      <c r="D44" s="3">
        <v>5023036</v>
      </c>
      <c r="E44" s="3">
        <v>1885154</v>
      </c>
      <c r="F44" s="11">
        <f t="shared" ref="F44:F57" si="4">E44/D44</f>
        <v>0.37530170996186368</v>
      </c>
    </row>
    <row r="45" spans="1:6" x14ac:dyDescent="0.25">
      <c r="B45" s="43" t="s">
        <v>396</v>
      </c>
      <c r="C45" s="3">
        <v>403940</v>
      </c>
      <c r="D45" s="3">
        <v>403940</v>
      </c>
      <c r="E45" s="3">
        <v>95320</v>
      </c>
      <c r="F45" s="11">
        <f t="shared" si="4"/>
        <v>0.23597563994652671</v>
      </c>
    </row>
    <row r="46" spans="1:6" x14ac:dyDescent="0.25">
      <c r="B46" t="s">
        <v>164</v>
      </c>
      <c r="C46" s="3">
        <v>1038000</v>
      </c>
      <c r="D46" s="3">
        <v>1038000</v>
      </c>
      <c r="E46" s="3">
        <v>559040</v>
      </c>
      <c r="F46" s="11">
        <f t="shared" si="4"/>
        <v>0.53857418111753375</v>
      </c>
    </row>
    <row r="47" spans="1:6" x14ac:dyDescent="0.25">
      <c r="B47" t="s">
        <v>717</v>
      </c>
      <c r="C47" s="3">
        <v>0</v>
      </c>
      <c r="D47" s="3">
        <v>0</v>
      </c>
      <c r="E47" s="3">
        <v>370330</v>
      </c>
      <c r="F47" s="11"/>
    </row>
    <row r="48" spans="1:6" x14ac:dyDescent="0.25">
      <c r="B48" t="s">
        <v>165</v>
      </c>
      <c r="C48" s="3">
        <v>5160910</v>
      </c>
      <c r="D48" s="3">
        <v>5160910</v>
      </c>
      <c r="E48" s="3">
        <f>11040+2983444+30000+48960+79240+19240</f>
        <v>3171924</v>
      </c>
      <c r="F48" s="11">
        <f t="shared" si="4"/>
        <v>0.61460556374747866</v>
      </c>
    </row>
    <row r="49" spans="1:6" x14ac:dyDescent="0.25">
      <c r="A49" t="s">
        <v>166</v>
      </c>
      <c r="B49" t="s">
        <v>718</v>
      </c>
      <c r="C49" s="3">
        <v>1955000</v>
      </c>
      <c r="D49" s="3">
        <v>1955000</v>
      </c>
      <c r="E49" s="3">
        <v>2021164</v>
      </c>
      <c r="F49" s="11">
        <f t="shared" si="4"/>
        <v>1.0338434782608696</v>
      </c>
    </row>
    <row r="50" spans="1:6" x14ac:dyDescent="0.25">
      <c r="A50" t="s">
        <v>167</v>
      </c>
      <c r="B50" t="s">
        <v>168</v>
      </c>
      <c r="C50" s="3">
        <v>15000</v>
      </c>
      <c r="D50" s="3">
        <v>15000</v>
      </c>
      <c r="F50" s="11">
        <f t="shared" si="4"/>
        <v>0</v>
      </c>
    </row>
    <row r="51" spans="1:6" x14ac:dyDescent="0.25">
      <c r="B51" t="s">
        <v>169</v>
      </c>
      <c r="C51" s="3">
        <v>800000</v>
      </c>
      <c r="D51" s="3">
        <v>800000</v>
      </c>
      <c r="E51" s="3">
        <f>5500+329075</f>
        <v>334575</v>
      </c>
      <c r="F51" s="11">
        <f t="shared" si="4"/>
        <v>0.41821874999999997</v>
      </c>
    </row>
    <row r="52" spans="1:6" x14ac:dyDescent="0.25">
      <c r="A52" t="s">
        <v>170</v>
      </c>
      <c r="B52" t="s">
        <v>171</v>
      </c>
      <c r="C52" s="3">
        <v>527850</v>
      </c>
      <c r="D52" s="3">
        <f>527850+3240000</f>
        <v>3767850</v>
      </c>
      <c r="E52" s="3">
        <f>3240000+545714</f>
        <v>3785714</v>
      </c>
      <c r="F52" s="11">
        <f t="shared" si="4"/>
        <v>1.0047411653860956</v>
      </c>
    </row>
    <row r="53" spans="1:6" x14ac:dyDescent="0.25">
      <c r="A53" t="s">
        <v>129</v>
      </c>
      <c r="B53" t="s">
        <v>397</v>
      </c>
      <c r="C53" s="3">
        <v>0</v>
      </c>
      <c r="D53" s="3">
        <v>132852</v>
      </c>
      <c r="E53" s="3">
        <f>269399+128948+194923+146426</f>
        <v>739696</v>
      </c>
      <c r="F53" s="11">
        <f t="shared" si="4"/>
        <v>5.5678198295848009</v>
      </c>
    </row>
    <row r="54" spans="1:6" s="4" customFormat="1" x14ac:dyDescent="0.25">
      <c r="A54" s="4" t="s">
        <v>172</v>
      </c>
      <c r="B54" s="4" t="s">
        <v>173</v>
      </c>
      <c r="C54" s="5">
        <f>SUM(C44:C53)</f>
        <v>14923736</v>
      </c>
      <c r="D54" s="5">
        <f>SUM(D44:D53)</f>
        <v>18296588</v>
      </c>
      <c r="E54" s="5">
        <f>SUM(E44:E53)</f>
        <v>12962917</v>
      </c>
      <c r="F54" s="11">
        <f t="shared" si="4"/>
        <v>0.70848821649151195</v>
      </c>
    </row>
    <row r="55" spans="1:6" x14ac:dyDescent="0.25">
      <c r="A55" t="s">
        <v>398</v>
      </c>
      <c r="B55" t="s">
        <v>399</v>
      </c>
      <c r="C55" s="3">
        <v>0</v>
      </c>
      <c r="D55" s="3">
        <v>12000000</v>
      </c>
      <c r="E55" s="3">
        <f>12000000</f>
        <v>12000000</v>
      </c>
      <c r="F55" s="11"/>
    </row>
    <row r="56" spans="1:6" x14ac:dyDescent="0.25">
      <c r="A56" t="s">
        <v>174</v>
      </c>
      <c r="B56" t="s">
        <v>175</v>
      </c>
      <c r="C56" s="3"/>
      <c r="D56" s="3"/>
      <c r="E56" s="3"/>
      <c r="F56" s="11"/>
    </row>
    <row r="57" spans="1:6" s="4" customFormat="1" x14ac:dyDescent="0.25">
      <c r="A57" s="4" t="s">
        <v>400</v>
      </c>
      <c r="B57" s="4" t="s">
        <v>176</v>
      </c>
      <c r="C57" s="5">
        <f>SUM(C55:C56)</f>
        <v>0</v>
      </c>
      <c r="D57" s="5">
        <f t="shared" ref="D57:E57" si="5">SUM(D55:D56)</f>
        <v>12000000</v>
      </c>
      <c r="E57" s="5">
        <f t="shared" si="5"/>
        <v>12000000</v>
      </c>
      <c r="F57" s="11">
        <f t="shared" si="4"/>
        <v>1</v>
      </c>
    </row>
    <row r="58" spans="1:6" x14ac:dyDescent="0.25">
      <c r="C58" s="3"/>
      <c r="D58" s="3"/>
      <c r="E58" s="3"/>
      <c r="F58" s="11"/>
    </row>
    <row r="59" spans="1:6" s="8" customFormat="1" ht="15.75" x14ac:dyDescent="0.25">
      <c r="B59" s="8" t="s">
        <v>131</v>
      </c>
      <c r="C59" s="9">
        <f>SUM(C57,C54)</f>
        <v>14923736</v>
      </c>
      <c r="D59" s="9">
        <f t="shared" ref="D59:E59" si="6">SUM(D57,D54)</f>
        <v>30296588</v>
      </c>
      <c r="E59" s="9">
        <f t="shared" si="6"/>
        <v>24962917</v>
      </c>
      <c r="F59" s="11">
        <f t="shared" ref="F59" si="7">E59/D59</f>
        <v>0.82395142977816516</v>
      </c>
    </row>
    <row r="60" spans="1:6" x14ac:dyDescent="0.25">
      <c r="C60" s="3"/>
      <c r="D60" s="3"/>
      <c r="E60" s="3"/>
    </row>
    <row r="61" spans="1:6" x14ac:dyDescent="0.25">
      <c r="C61" s="3"/>
      <c r="D61" s="3"/>
      <c r="E61" s="3"/>
    </row>
    <row r="62" spans="1:6" x14ac:dyDescent="0.25">
      <c r="C62" s="3"/>
      <c r="D62" s="3"/>
      <c r="E62" s="3"/>
    </row>
    <row r="63" spans="1:6" x14ac:dyDescent="0.25">
      <c r="C63" s="3"/>
      <c r="D63" s="3"/>
      <c r="E63" s="3"/>
    </row>
    <row r="64" spans="1:6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  <row r="466" spans="3:5" x14ac:dyDescent="0.25">
      <c r="C466" s="3"/>
      <c r="D466" s="3"/>
      <c r="E466" s="3"/>
    </row>
    <row r="467" spans="3:5" x14ac:dyDescent="0.25">
      <c r="C467" s="3"/>
      <c r="D467" s="3"/>
      <c r="E467" s="3"/>
    </row>
    <row r="468" spans="3:5" x14ac:dyDescent="0.25">
      <c r="C468" s="3"/>
      <c r="D468" s="3"/>
      <c r="E468" s="3"/>
    </row>
    <row r="469" spans="3:5" x14ac:dyDescent="0.25">
      <c r="C469" s="3"/>
      <c r="D469" s="3"/>
      <c r="E469" s="3"/>
    </row>
    <row r="470" spans="3:5" x14ac:dyDescent="0.25">
      <c r="C470" s="3"/>
      <c r="D470" s="3"/>
      <c r="E470" s="3"/>
    </row>
    <row r="471" spans="3:5" x14ac:dyDescent="0.25">
      <c r="C471" s="3"/>
      <c r="D471" s="3"/>
      <c r="E471" s="3"/>
    </row>
    <row r="472" spans="3:5" x14ac:dyDescent="0.25">
      <c r="C472" s="3"/>
      <c r="D472" s="3"/>
      <c r="E472" s="3"/>
    </row>
    <row r="473" spans="3:5" x14ac:dyDescent="0.25">
      <c r="C473" s="3"/>
      <c r="D473" s="3"/>
      <c r="E473" s="3"/>
    </row>
    <row r="474" spans="3:5" x14ac:dyDescent="0.25">
      <c r="C474" s="3"/>
      <c r="D474" s="3"/>
      <c r="E474" s="3"/>
    </row>
    <row r="475" spans="3:5" x14ac:dyDescent="0.25">
      <c r="C475" s="3"/>
      <c r="D475" s="3"/>
      <c r="E475" s="3"/>
    </row>
    <row r="476" spans="3:5" x14ac:dyDescent="0.25">
      <c r="C476" s="3"/>
      <c r="D476" s="3"/>
      <c r="E476" s="3"/>
    </row>
    <row r="477" spans="3:5" x14ac:dyDescent="0.25">
      <c r="C477" s="3"/>
      <c r="D477" s="3"/>
      <c r="E477" s="3"/>
    </row>
    <row r="478" spans="3:5" x14ac:dyDescent="0.25">
      <c r="C478" s="3"/>
      <c r="D478" s="3"/>
      <c r="E478" s="3"/>
    </row>
    <row r="479" spans="3:5" x14ac:dyDescent="0.25">
      <c r="C479" s="3"/>
      <c r="D479" s="3"/>
      <c r="E479" s="3"/>
    </row>
    <row r="480" spans="3:5" x14ac:dyDescent="0.25">
      <c r="C480" s="3"/>
      <c r="D480" s="3"/>
      <c r="E480" s="3"/>
    </row>
    <row r="481" spans="3:5" x14ac:dyDescent="0.25">
      <c r="C481" s="3"/>
      <c r="D481" s="3"/>
      <c r="E481" s="3"/>
    </row>
    <row r="482" spans="3:5" x14ac:dyDescent="0.25">
      <c r="C482" s="3"/>
      <c r="D482" s="3"/>
      <c r="E482" s="3"/>
    </row>
    <row r="483" spans="3:5" x14ac:dyDescent="0.25">
      <c r="C483" s="3"/>
      <c r="D483" s="3"/>
      <c r="E483" s="3"/>
    </row>
    <row r="484" spans="3:5" x14ac:dyDescent="0.25">
      <c r="C484" s="3"/>
      <c r="D484" s="3"/>
      <c r="E484" s="3"/>
    </row>
    <row r="485" spans="3:5" x14ac:dyDescent="0.25">
      <c r="C485" s="3"/>
      <c r="D485" s="3"/>
      <c r="E485" s="3"/>
    </row>
    <row r="486" spans="3:5" x14ac:dyDescent="0.25">
      <c r="C486" s="3"/>
      <c r="D486" s="3"/>
      <c r="E486" s="3"/>
    </row>
  </sheetData>
  <mergeCells count="2">
    <mergeCell ref="B2:F2"/>
    <mergeCell ref="F4:F6"/>
  </mergeCells>
  <pageMargins left="0.7" right="0.7" top="0.75" bottom="0.75" header="0.3" footer="0.3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L447"/>
  <sheetViews>
    <sheetView topLeftCell="B1" zoomScaleNormal="100" workbookViewId="0">
      <selection activeCell="F17" sqref="F17"/>
    </sheetView>
  </sheetViews>
  <sheetFormatPr defaultRowHeight="15" x14ac:dyDescent="0.25"/>
  <cols>
    <col min="2" max="2" width="63.140625" bestFit="1" customWidth="1"/>
    <col min="3" max="3" width="14.7109375" customWidth="1"/>
    <col min="4" max="4" width="14.7109375" bestFit="1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177</v>
      </c>
      <c r="B2" s="120" t="s">
        <v>178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567</v>
      </c>
      <c r="B4" t="s">
        <v>557</v>
      </c>
      <c r="C4" s="3">
        <v>0</v>
      </c>
      <c r="D4" s="3">
        <f>2901928</f>
        <v>2901928</v>
      </c>
      <c r="E4" s="3">
        <v>2901928</v>
      </c>
      <c r="F4" s="10">
        <f t="shared" ref="F4:F8" si="0">E4/D4</f>
        <v>1</v>
      </c>
    </row>
    <row r="5" spans="1:12" x14ac:dyDescent="0.25">
      <c r="A5" t="s">
        <v>661</v>
      </c>
      <c r="B5" t="s">
        <v>660</v>
      </c>
      <c r="C5" s="3"/>
      <c r="D5" s="3">
        <v>14417063</v>
      </c>
      <c r="E5" s="3">
        <v>14417063</v>
      </c>
      <c r="F5" s="10">
        <f t="shared" si="0"/>
        <v>1</v>
      </c>
    </row>
    <row r="6" spans="1:12" s="4" customFormat="1" x14ac:dyDescent="0.25">
      <c r="A6" s="4" t="s">
        <v>55</v>
      </c>
      <c r="B6" s="4" t="s">
        <v>56</v>
      </c>
      <c r="C6" s="5">
        <f>SUM(C4:C5)</f>
        <v>0</v>
      </c>
      <c r="D6" s="5">
        <f>SUM(D4:D5)</f>
        <v>17318991</v>
      </c>
      <c r="E6" s="5">
        <f>SUM(E4:E5)</f>
        <v>17318991</v>
      </c>
      <c r="F6" s="11">
        <f>E6/D6</f>
        <v>1</v>
      </c>
    </row>
    <row r="7" spans="1:12" x14ac:dyDescent="0.25">
      <c r="C7" s="3"/>
      <c r="D7" s="3"/>
      <c r="E7" s="3"/>
      <c r="F7" s="10"/>
    </row>
    <row r="8" spans="1:12" s="8" customFormat="1" ht="15.75" x14ac:dyDescent="0.25">
      <c r="B8" s="8" t="s">
        <v>57</v>
      </c>
      <c r="C8" s="9">
        <f>SUM(C6)</f>
        <v>0</v>
      </c>
      <c r="D8" s="9">
        <f>SUM(D6)</f>
        <v>17318991</v>
      </c>
      <c r="E8" s="9">
        <f>SUM(E6)</f>
        <v>17318991</v>
      </c>
      <c r="F8" s="11">
        <f t="shared" si="0"/>
        <v>1</v>
      </c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ht="15.75" x14ac:dyDescent="0.25">
      <c r="B11" s="42" t="s">
        <v>58</v>
      </c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A13" t="s">
        <v>179</v>
      </c>
      <c r="B13" t="s">
        <v>180</v>
      </c>
      <c r="C13" s="3">
        <v>319108569</v>
      </c>
      <c r="D13" s="3">
        <v>319108569</v>
      </c>
      <c r="E13" s="3">
        <v>166523800</v>
      </c>
      <c r="F13" s="10">
        <f t="shared" ref="F13:F17" si="1">E13/D13</f>
        <v>0.52184057771259662</v>
      </c>
    </row>
    <row r="14" spans="1:12" ht="30" x14ac:dyDescent="0.25">
      <c r="A14" t="s">
        <v>181</v>
      </c>
      <c r="B14" s="43" t="s">
        <v>182</v>
      </c>
      <c r="C14" s="3">
        <v>274087174</v>
      </c>
      <c r="D14" s="3">
        <v>316438140</v>
      </c>
      <c r="E14" s="3">
        <v>163497054</v>
      </c>
      <c r="F14" s="10">
        <f t="shared" si="1"/>
        <v>0.51667935477057225</v>
      </c>
    </row>
    <row r="15" spans="1:12" ht="30" x14ac:dyDescent="0.25">
      <c r="A15" t="s">
        <v>183</v>
      </c>
      <c r="B15" s="43" t="s">
        <v>184</v>
      </c>
      <c r="C15" s="3">
        <v>195938097</v>
      </c>
      <c r="D15" s="3">
        <v>213471317</v>
      </c>
      <c r="E15" s="3">
        <v>110325779</v>
      </c>
      <c r="F15" s="10">
        <f t="shared" si="1"/>
        <v>0.51681781210915567</v>
      </c>
    </row>
    <row r="16" spans="1:12" ht="30" x14ac:dyDescent="0.25">
      <c r="A16" t="s">
        <v>185</v>
      </c>
      <c r="B16" s="43" t="s">
        <v>186</v>
      </c>
      <c r="C16" s="3">
        <v>165452245</v>
      </c>
      <c r="D16" s="3">
        <v>165452245</v>
      </c>
      <c r="E16" s="3">
        <v>86035170</v>
      </c>
      <c r="F16" s="10">
        <f t="shared" si="1"/>
        <v>0.52000001571450416</v>
      </c>
    </row>
    <row r="17" spans="1:6" x14ac:dyDescent="0.25">
      <c r="A17" t="s">
        <v>187</v>
      </c>
      <c r="B17" s="43" t="s">
        <v>188</v>
      </c>
      <c r="C17" s="3">
        <v>23304574</v>
      </c>
      <c r="D17" s="3">
        <v>23304574</v>
      </c>
      <c r="E17" s="3">
        <v>12118379</v>
      </c>
      <c r="F17" s="10">
        <f t="shared" si="1"/>
        <v>0.52000002231321629</v>
      </c>
    </row>
    <row r="18" spans="1:6" x14ac:dyDescent="0.25">
      <c r="B18" s="43"/>
      <c r="C18" s="3"/>
      <c r="D18" s="3"/>
      <c r="E18" s="3"/>
    </row>
    <row r="19" spans="1:6" x14ac:dyDescent="0.25">
      <c r="C19" s="3"/>
      <c r="D19" s="3"/>
      <c r="E19" s="3"/>
    </row>
    <row r="20" spans="1:6" s="8" customFormat="1" ht="15.75" x14ac:dyDescent="0.25">
      <c r="B20" s="8" t="s">
        <v>131</v>
      </c>
      <c r="C20" s="9">
        <f>SUM(C13:C19)</f>
        <v>977890659</v>
      </c>
      <c r="D20" s="9">
        <f t="shared" ref="D20:E20" si="2">SUM(D13:D19)</f>
        <v>1037774845</v>
      </c>
      <c r="E20" s="9">
        <f t="shared" si="2"/>
        <v>538500182</v>
      </c>
      <c r="F20" s="11">
        <f t="shared" ref="F20" si="3">E20/D20</f>
        <v>0.51889885806588421</v>
      </c>
    </row>
    <row r="21" spans="1:6" x14ac:dyDescent="0.25">
      <c r="C21" s="3"/>
      <c r="D21" s="3"/>
      <c r="E21" s="3"/>
    </row>
    <row r="22" spans="1:6" x14ac:dyDescent="0.25">
      <c r="C22" s="3"/>
      <c r="D22" s="3"/>
      <c r="E22" s="3"/>
    </row>
    <row r="23" spans="1:6" x14ac:dyDescent="0.25">
      <c r="C23" s="3"/>
      <c r="D23" s="3"/>
      <c r="E23" s="3"/>
    </row>
    <row r="24" spans="1:6" x14ac:dyDescent="0.25">
      <c r="C24" s="3"/>
      <c r="D24" s="3"/>
      <c r="E24" s="3"/>
    </row>
    <row r="25" spans="1:6" x14ac:dyDescent="0.25">
      <c r="C25" s="3"/>
      <c r="D25" s="3"/>
      <c r="E25" s="3"/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x14ac:dyDescent="0.25"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</sheetData>
  <mergeCells count="1">
    <mergeCell ref="B2:F2"/>
  </mergeCells>
  <pageMargins left="0.7" right="0.7" top="0.75" bottom="0.75" header="0.3" footer="0.3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L439"/>
  <sheetViews>
    <sheetView zoomScaleNormal="100" workbookViewId="0">
      <selection activeCell="E20" sqref="E20"/>
    </sheetView>
  </sheetViews>
  <sheetFormatPr defaultRowHeight="15" x14ac:dyDescent="0.25"/>
  <cols>
    <col min="2" max="2" width="51.5703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189</v>
      </c>
      <c r="B2" s="120" t="s">
        <v>67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48</v>
      </c>
      <c r="C4" s="3"/>
      <c r="D4" s="3"/>
      <c r="E4" s="3"/>
      <c r="F4" s="10"/>
    </row>
    <row r="5" spans="1:12" s="4" customFormat="1" x14ac:dyDescent="0.25">
      <c r="A5" s="4" t="s">
        <v>52</v>
      </c>
      <c r="B5" s="4" t="s">
        <v>53</v>
      </c>
      <c r="C5" s="5">
        <f>SUM(C4)</f>
        <v>0</v>
      </c>
      <c r="D5" s="5">
        <f>SUM(D4)</f>
        <v>0</v>
      </c>
      <c r="E5" s="5">
        <f>SUM(E4)</f>
        <v>0</v>
      </c>
      <c r="F5" s="11"/>
    </row>
    <row r="6" spans="1:12" x14ac:dyDescent="0.25">
      <c r="A6" t="s">
        <v>190</v>
      </c>
      <c r="B6" t="s">
        <v>191</v>
      </c>
      <c r="C6" s="3">
        <v>909811</v>
      </c>
      <c r="D6" s="3">
        <v>909811</v>
      </c>
      <c r="E6" s="3">
        <v>473102</v>
      </c>
      <c r="F6" s="10">
        <f t="shared" ref="F5:F10" si="0">E6/D6</f>
        <v>0.5200003077562263</v>
      </c>
    </row>
    <row r="7" spans="1:12" s="4" customFormat="1" x14ac:dyDescent="0.25">
      <c r="A7" s="4" t="s">
        <v>55</v>
      </c>
      <c r="B7" s="4" t="s">
        <v>56</v>
      </c>
      <c r="C7" s="5">
        <f>SUM(C6:C6)</f>
        <v>909811</v>
      </c>
      <c r="D7" s="5">
        <f>SUM(D6:D6)</f>
        <v>909811</v>
      </c>
      <c r="E7" s="5">
        <f>SUM(E6:E6)</f>
        <v>473102</v>
      </c>
      <c r="F7" s="11">
        <f t="shared" si="0"/>
        <v>0.5200003077562263</v>
      </c>
    </row>
    <row r="8" spans="1:12" x14ac:dyDescent="0.25">
      <c r="A8" t="s">
        <v>192</v>
      </c>
      <c r="B8" t="s">
        <v>193</v>
      </c>
      <c r="C8" s="3">
        <v>30262867</v>
      </c>
      <c r="D8" s="3">
        <v>30262867</v>
      </c>
      <c r="E8" s="3">
        <v>30262867</v>
      </c>
      <c r="F8" s="10">
        <f t="shared" si="0"/>
        <v>1</v>
      </c>
    </row>
    <row r="9" spans="1:12" s="4" customFormat="1" x14ac:dyDescent="0.25">
      <c r="A9" s="4" t="s">
        <v>194</v>
      </c>
      <c r="B9" s="4" t="s">
        <v>195</v>
      </c>
      <c r="C9" s="5">
        <f>SUM(C8)</f>
        <v>30262867</v>
      </c>
      <c r="D9" s="5">
        <f>SUM(D8)</f>
        <v>30262867</v>
      </c>
      <c r="E9" s="5">
        <f>SUM(E8)</f>
        <v>30262867</v>
      </c>
      <c r="F9" s="11">
        <f t="shared" si="0"/>
        <v>1</v>
      </c>
    </row>
    <row r="10" spans="1:12" s="8" customFormat="1" ht="15.75" x14ac:dyDescent="0.25">
      <c r="B10" s="8" t="s">
        <v>57</v>
      </c>
      <c r="C10" s="9">
        <f>C7+C5+C9</f>
        <v>31172678</v>
      </c>
      <c r="D10" s="9">
        <f>D7+D5+D9</f>
        <v>31172678</v>
      </c>
      <c r="E10" s="9">
        <f>E7+E5+E9</f>
        <v>30735969</v>
      </c>
      <c r="F10" s="11">
        <f t="shared" si="0"/>
        <v>0.98599064860580798</v>
      </c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</sheetData>
  <mergeCells count="1">
    <mergeCell ref="B2:F2"/>
  </mergeCells>
  <pageMargins left="0.7" right="0.7" top="0.75" bottom="0.75" header="0.3" footer="0.3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L446"/>
  <sheetViews>
    <sheetView zoomScaleNormal="100" workbookViewId="0">
      <selection activeCell="D29" sqref="D29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68</v>
      </c>
      <c r="B2" s="120" t="s">
        <v>69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B4" t="s">
        <v>196</v>
      </c>
      <c r="C4" s="3">
        <v>15000</v>
      </c>
      <c r="D4" s="3">
        <v>15000</v>
      </c>
      <c r="E4" s="3"/>
      <c r="F4" s="10">
        <f t="shared" ref="F4:F12" si="0">E4/D4</f>
        <v>0</v>
      </c>
    </row>
    <row r="5" spans="1:12" x14ac:dyDescent="0.25">
      <c r="B5" t="s">
        <v>662</v>
      </c>
      <c r="C5" s="3">
        <v>0</v>
      </c>
      <c r="D5" s="3">
        <v>1200000</v>
      </c>
      <c r="E5" s="3">
        <v>1200000</v>
      </c>
      <c r="F5" s="10">
        <f t="shared" si="0"/>
        <v>1</v>
      </c>
    </row>
    <row r="6" spans="1:12" ht="30" x14ac:dyDescent="0.25">
      <c r="A6" t="s">
        <v>204</v>
      </c>
      <c r="B6" s="43" t="s">
        <v>566</v>
      </c>
      <c r="C6" s="3">
        <v>0</v>
      </c>
      <c r="D6" s="3">
        <f>249210+236510+356271+244800</f>
        <v>1086791</v>
      </c>
      <c r="E6" s="3">
        <f>841991+244800</f>
        <v>1086791</v>
      </c>
      <c r="F6" s="10">
        <f t="shared" si="0"/>
        <v>1</v>
      </c>
    </row>
    <row r="7" spans="1:12" s="4" customFormat="1" x14ac:dyDescent="0.25">
      <c r="A7" s="4" t="s">
        <v>55</v>
      </c>
      <c r="B7" s="4" t="s">
        <v>56</v>
      </c>
      <c r="C7" s="5">
        <f>SUM(C4:C6)</f>
        <v>15000</v>
      </c>
      <c r="D7" s="5">
        <f t="shared" ref="D7:E7" si="1">SUM(D4:D6)</f>
        <v>2301791</v>
      </c>
      <c r="E7" s="5">
        <f t="shared" si="1"/>
        <v>2286791</v>
      </c>
      <c r="F7" s="11">
        <f t="shared" si="0"/>
        <v>0.99348333536798084</v>
      </c>
    </row>
    <row r="8" spans="1:12" x14ac:dyDescent="0.25">
      <c r="A8" t="s">
        <v>197</v>
      </c>
      <c r="B8" t="s">
        <v>198</v>
      </c>
      <c r="C8" s="3">
        <v>203073192</v>
      </c>
      <c r="D8" s="3">
        <v>199872282</v>
      </c>
      <c r="E8" s="3">
        <v>80483877</v>
      </c>
      <c r="F8" s="11">
        <f t="shared" si="0"/>
        <v>0.40267653020542388</v>
      </c>
    </row>
    <row r="9" spans="1:12" x14ac:dyDescent="0.25">
      <c r="B9" t="s">
        <v>199</v>
      </c>
      <c r="C9" s="3">
        <v>537448053</v>
      </c>
      <c r="D9" s="3">
        <v>548401569</v>
      </c>
      <c r="E9" s="3">
        <v>274149066</v>
      </c>
      <c r="F9" s="11">
        <f t="shared" si="0"/>
        <v>0.49990569228294823</v>
      </c>
    </row>
    <row r="10" spans="1:12" x14ac:dyDescent="0.25">
      <c r="B10" t="s">
        <v>200</v>
      </c>
      <c r="C10" s="3">
        <v>58827321</v>
      </c>
      <c r="D10" s="3">
        <v>58327321</v>
      </c>
      <c r="E10" s="3">
        <v>27627347</v>
      </c>
      <c r="F10" s="11">
        <f t="shared" si="0"/>
        <v>0.47366048236640251</v>
      </c>
    </row>
    <row r="11" spans="1:12" s="4" customFormat="1" x14ac:dyDescent="0.25">
      <c r="B11" s="4" t="s">
        <v>201</v>
      </c>
      <c r="C11" s="5">
        <f>SUM(C8:C10)</f>
        <v>799348566</v>
      </c>
      <c r="D11" s="5">
        <f>SUM(D8:D10)</f>
        <v>806601172</v>
      </c>
      <c r="E11" s="5">
        <f t="shared" ref="E11" si="2">SUM(E8:E10)</f>
        <v>382260290</v>
      </c>
      <c r="F11" s="11">
        <f t="shared" si="0"/>
        <v>0.47391487053281889</v>
      </c>
    </row>
    <row r="12" spans="1:12" s="8" customFormat="1" ht="15.75" x14ac:dyDescent="0.25">
      <c r="B12" s="8" t="s">
        <v>57</v>
      </c>
      <c r="C12" s="9">
        <f>SUM(C11,C7)</f>
        <v>799363566</v>
      </c>
      <c r="D12" s="9">
        <f t="shared" ref="D12:E12" si="3">SUM(D11,D7)</f>
        <v>808902963</v>
      </c>
      <c r="E12" s="9">
        <f t="shared" si="3"/>
        <v>384547081</v>
      </c>
      <c r="F12" s="11">
        <f t="shared" si="0"/>
        <v>0.47539333960877084</v>
      </c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ht="15.75" x14ac:dyDescent="0.25">
      <c r="B15" s="42" t="s">
        <v>58</v>
      </c>
      <c r="C15" s="3"/>
      <c r="D15" s="3"/>
      <c r="E15" s="3"/>
    </row>
    <row r="16" spans="1:12" x14ac:dyDescent="0.25">
      <c r="C16" s="3"/>
      <c r="D16" s="3"/>
      <c r="E16" s="3"/>
    </row>
    <row r="17" spans="1:6" x14ac:dyDescent="0.25">
      <c r="A17" t="s">
        <v>202</v>
      </c>
      <c r="B17" t="s">
        <v>203</v>
      </c>
      <c r="C17" s="3">
        <v>206014481</v>
      </c>
      <c r="D17" s="3">
        <f>206014481+2901928+166800+59100289</f>
        <v>268183498</v>
      </c>
      <c r="E17" s="3">
        <v>268183498</v>
      </c>
      <c r="F17" s="10">
        <f t="shared" ref="F17" si="4">E17/D17</f>
        <v>1</v>
      </c>
    </row>
    <row r="18" spans="1:6" x14ac:dyDescent="0.25">
      <c r="C18" s="3"/>
      <c r="D18" s="3"/>
      <c r="E18" s="3"/>
    </row>
    <row r="19" spans="1:6" s="8" customFormat="1" ht="15.75" x14ac:dyDescent="0.25">
      <c r="B19" s="8" t="s">
        <v>131</v>
      </c>
      <c r="C19" s="9">
        <f>SUM(C17:C18)</f>
        <v>206014481</v>
      </c>
      <c r="D19" s="9">
        <f>SUM(D17:D18)</f>
        <v>268183498</v>
      </c>
      <c r="E19" s="9">
        <f>SUM(E17:E18)</f>
        <v>268183498</v>
      </c>
      <c r="F19" s="11">
        <f t="shared" ref="F19" si="5">E19/D19</f>
        <v>1</v>
      </c>
    </row>
    <row r="20" spans="1:6" x14ac:dyDescent="0.25">
      <c r="C20" s="3"/>
      <c r="D20" s="3"/>
      <c r="E20" s="3"/>
    </row>
    <row r="21" spans="1:6" x14ac:dyDescent="0.25">
      <c r="C21" s="3"/>
      <c r="D21" s="3"/>
      <c r="E21" s="3"/>
    </row>
    <row r="22" spans="1:6" x14ac:dyDescent="0.25">
      <c r="C22" s="3"/>
      <c r="D22" s="3"/>
      <c r="E22" s="3"/>
    </row>
    <row r="23" spans="1:6" x14ac:dyDescent="0.25">
      <c r="C23" s="3"/>
      <c r="D23" s="3"/>
      <c r="E23" s="3"/>
    </row>
    <row r="24" spans="1:6" x14ac:dyDescent="0.25">
      <c r="C24" s="3"/>
      <c r="D24" s="3"/>
      <c r="E24" s="3"/>
    </row>
    <row r="25" spans="1:6" x14ac:dyDescent="0.25">
      <c r="C25" s="3"/>
      <c r="D25" s="3"/>
      <c r="E25" s="3"/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x14ac:dyDescent="0.25"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L451"/>
  <sheetViews>
    <sheetView zoomScaleNormal="100" workbookViewId="0">
      <selection activeCell="D32" sqref="D32"/>
    </sheetView>
  </sheetViews>
  <sheetFormatPr defaultRowHeight="15" x14ac:dyDescent="0.25"/>
  <cols>
    <col min="2" max="2" width="55.42578125" bestFit="1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70</v>
      </c>
      <c r="B2" s="120" t="s">
        <v>71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2</v>
      </c>
      <c r="B4" t="s">
        <v>442</v>
      </c>
      <c r="C4" s="3">
        <v>8310800</v>
      </c>
      <c r="D4" s="3">
        <v>8310800</v>
      </c>
      <c r="E4" s="3">
        <v>2767600</v>
      </c>
      <c r="F4" s="10">
        <f t="shared" ref="F4:F15" si="0">E4/D4</f>
        <v>0.33301246570727244</v>
      </c>
    </row>
    <row r="5" spans="1:12" x14ac:dyDescent="0.25">
      <c r="A5" t="s">
        <v>426</v>
      </c>
      <c r="B5" t="s">
        <v>427</v>
      </c>
      <c r="C5" s="3">
        <v>150000</v>
      </c>
      <c r="D5" s="3">
        <v>150000</v>
      </c>
      <c r="E5" s="3"/>
      <c r="F5" s="10">
        <f t="shared" si="0"/>
        <v>0</v>
      </c>
    </row>
    <row r="6" spans="1:12" x14ac:dyDescent="0.25">
      <c r="A6" t="s">
        <v>8</v>
      </c>
      <c r="B6" t="s">
        <v>430</v>
      </c>
      <c r="C6" s="3">
        <v>24000</v>
      </c>
      <c r="D6" s="3">
        <v>24000</v>
      </c>
      <c r="E6" s="3">
        <v>7000</v>
      </c>
      <c r="F6" s="10">
        <f t="shared" si="0"/>
        <v>0.29166666666666669</v>
      </c>
    </row>
    <row r="7" spans="1:12" s="4" customFormat="1" x14ac:dyDescent="0.25">
      <c r="A7" s="4" t="s">
        <v>15</v>
      </c>
      <c r="B7" s="4" t="s">
        <v>416</v>
      </c>
      <c r="C7" s="5">
        <f>SUM(C4:C6)</f>
        <v>8484800</v>
      </c>
      <c r="D7" s="5">
        <f>SUM(D4:D6)</f>
        <v>8484800</v>
      </c>
      <c r="E7" s="5">
        <f t="shared" ref="E7" si="1">SUM(E4:E6)</f>
        <v>2774600</v>
      </c>
      <c r="F7" s="11">
        <f t="shared" si="0"/>
        <v>0.32700829719026964</v>
      </c>
    </row>
    <row r="8" spans="1:12" s="4" customFormat="1" x14ac:dyDescent="0.25">
      <c r="A8" s="4" t="s">
        <v>443</v>
      </c>
      <c r="B8" s="4" t="s">
        <v>444</v>
      </c>
      <c r="C8" s="5">
        <v>1103024</v>
      </c>
      <c r="D8" s="5">
        <v>1103024</v>
      </c>
      <c r="E8" s="5">
        <v>360698</v>
      </c>
      <c r="F8" s="11">
        <f t="shared" si="0"/>
        <v>0.32700829719026964</v>
      </c>
    </row>
    <row r="9" spans="1:12" x14ac:dyDescent="0.25">
      <c r="A9" t="s">
        <v>20</v>
      </c>
      <c r="B9" t="s">
        <v>610</v>
      </c>
      <c r="C9" s="3">
        <v>0</v>
      </c>
      <c r="D9" s="3">
        <v>195969</v>
      </c>
      <c r="E9" s="3">
        <v>195969</v>
      </c>
      <c r="F9" s="10">
        <f t="shared" si="0"/>
        <v>1</v>
      </c>
    </row>
    <row r="10" spans="1:12" x14ac:dyDescent="0.25">
      <c r="B10" s="56" t="s">
        <v>663</v>
      </c>
      <c r="C10" s="3">
        <v>0</v>
      </c>
      <c r="D10" s="3">
        <v>203623</v>
      </c>
      <c r="E10" s="3">
        <v>203623</v>
      </c>
      <c r="F10" s="10">
        <f t="shared" si="0"/>
        <v>1</v>
      </c>
    </row>
    <row r="11" spans="1:12" x14ac:dyDescent="0.25">
      <c r="A11" t="s">
        <v>25</v>
      </c>
      <c r="B11" s="56" t="s">
        <v>664</v>
      </c>
      <c r="C11" s="3">
        <v>0</v>
      </c>
      <c r="D11" s="3">
        <v>0</v>
      </c>
      <c r="E11" s="3">
        <v>621</v>
      </c>
      <c r="F11" s="10"/>
    </row>
    <row r="12" spans="1:12" x14ac:dyDescent="0.25">
      <c r="A12" t="s">
        <v>28</v>
      </c>
      <c r="B12" s="56" t="s">
        <v>665</v>
      </c>
      <c r="C12" s="3">
        <v>0</v>
      </c>
      <c r="D12" s="3">
        <v>0</v>
      </c>
      <c r="E12" s="3">
        <v>2463</v>
      </c>
      <c r="F12" s="10"/>
    </row>
    <row r="13" spans="1:12" x14ac:dyDescent="0.25">
      <c r="A13" t="s">
        <v>30</v>
      </c>
      <c r="B13" t="s">
        <v>569</v>
      </c>
      <c r="C13" s="3">
        <v>0</v>
      </c>
      <c r="D13" s="3">
        <v>35000</v>
      </c>
      <c r="E13" s="3">
        <f>15461+15461</f>
        <v>30922</v>
      </c>
      <c r="F13" s="10">
        <f t="shared" si="0"/>
        <v>0.88348571428571432</v>
      </c>
    </row>
    <row r="14" spans="1:12" x14ac:dyDescent="0.25">
      <c r="A14" t="s">
        <v>36</v>
      </c>
      <c r="B14" s="56" t="s">
        <v>666</v>
      </c>
      <c r="C14" s="3">
        <v>0</v>
      </c>
      <c r="D14" s="3">
        <v>8235</v>
      </c>
      <c r="E14" s="3">
        <v>16470</v>
      </c>
      <c r="F14" s="10">
        <f t="shared" si="0"/>
        <v>2</v>
      </c>
    </row>
    <row r="15" spans="1:12" x14ac:dyDescent="0.25">
      <c r="B15" s="56" t="s">
        <v>667</v>
      </c>
      <c r="C15" s="3">
        <v>0</v>
      </c>
      <c r="D15" s="3">
        <v>345000</v>
      </c>
      <c r="E15" s="3">
        <v>345000</v>
      </c>
      <c r="F15" s="10">
        <f t="shared" si="0"/>
        <v>1</v>
      </c>
    </row>
    <row r="16" spans="1:12" x14ac:dyDescent="0.25">
      <c r="A16" t="s">
        <v>44</v>
      </c>
      <c r="B16" t="s">
        <v>611</v>
      </c>
      <c r="C16" s="3"/>
      <c r="D16" s="3">
        <v>201040</v>
      </c>
      <c r="E16" s="3">
        <v>201735</v>
      </c>
      <c r="F16" s="10">
        <f t="shared" ref="F16:F17" si="2">E16/D16</f>
        <v>1.0034570234779148</v>
      </c>
    </row>
    <row r="17" spans="1:6" s="4" customFormat="1" x14ac:dyDescent="0.25">
      <c r="A17" s="4" t="s">
        <v>52</v>
      </c>
      <c r="B17" s="4" t="s">
        <v>53</v>
      </c>
      <c r="C17" s="5">
        <f>SUM(C9:C16)</f>
        <v>0</v>
      </c>
      <c r="D17" s="5">
        <f t="shared" ref="D17:E17" si="3">SUM(D9:D16)</f>
        <v>988867</v>
      </c>
      <c r="E17" s="5">
        <f t="shared" si="3"/>
        <v>996803</v>
      </c>
      <c r="F17" s="11">
        <f t="shared" si="2"/>
        <v>1.008025346179011</v>
      </c>
    </row>
    <row r="18" spans="1:6" x14ac:dyDescent="0.25">
      <c r="A18" t="s">
        <v>204</v>
      </c>
      <c r="C18" s="3"/>
      <c r="D18" s="3">
        <v>0</v>
      </c>
      <c r="E18" s="3">
        <v>0</v>
      </c>
      <c r="F18" s="10"/>
    </row>
    <row r="19" spans="1:6" x14ac:dyDescent="0.25">
      <c r="A19" t="s">
        <v>206</v>
      </c>
      <c r="B19" t="s">
        <v>205</v>
      </c>
      <c r="C19" s="3">
        <v>1500000</v>
      </c>
      <c r="D19" s="3">
        <v>1500000</v>
      </c>
      <c r="E19" s="3">
        <v>1500000</v>
      </c>
      <c r="F19" s="10">
        <f t="shared" ref="F19:F22" si="4">E19/D19</f>
        <v>1</v>
      </c>
    </row>
    <row r="20" spans="1:6" s="4" customFormat="1" x14ac:dyDescent="0.25">
      <c r="A20" s="4" t="s">
        <v>55</v>
      </c>
      <c r="B20" s="4" t="s">
        <v>56</v>
      </c>
      <c r="C20" s="5">
        <f>SUM(C18:C19)</f>
        <v>1500000</v>
      </c>
      <c r="D20" s="5">
        <f>SUM(D18:D19)</f>
        <v>1500000</v>
      </c>
      <c r="E20" s="5">
        <f>SUM(E18:E19)</f>
        <v>1500000</v>
      </c>
      <c r="F20" s="11">
        <f t="shared" si="4"/>
        <v>1</v>
      </c>
    </row>
    <row r="21" spans="1:6" x14ac:dyDescent="0.25">
      <c r="C21" s="3"/>
      <c r="D21" s="3"/>
      <c r="E21" s="3"/>
      <c r="F21" s="10"/>
    </row>
    <row r="22" spans="1:6" s="8" customFormat="1" ht="15.75" x14ac:dyDescent="0.25">
      <c r="B22" s="8" t="s">
        <v>57</v>
      </c>
      <c r="C22" s="9">
        <f>SUM(C7+C8+C17+C20)</f>
        <v>11087824</v>
      </c>
      <c r="D22" s="9">
        <f t="shared" ref="D22:E22" si="5">SUM(D7+D8+D17+D20)</f>
        <v>12076691</v>
      </c>
      <c r="E22" s="9">
        <f t="shared" si="5"/>
        <v>5632101</v>
      </c>
      <c r="F22" s="11">
        <f t="shared" si="4"/>
        <v>0.46636127396155125</v>
      </c>
    </row>
    <row r="23" spans="1:6" x14ac:dyDescent="0.25">
      <c r="C23" s="3"/>
      <c r="D23" s="3"/>
      <c r="E23" s="3"/>
    </row>
    <row r="24" spans="1:6" x14ac:dyDescent="0.25">
      <c r="C24" s="3"/>
      <c r="D24" s="3"/>
      <c r="E24" s="3"/>
    </row>
    <row r="25" spans="1:6" x14ac:dyDescent="0.25">
      <c r="C25" s="3"/>
      <c r="D25" s="3"/>
      <c r="E25" s="3"/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x14ac:dyDescent="0.25"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</sheetData>
  <mergeCells count="1">
    <mergeCell ref="B2:F2"/>
  </mergeCells>
  <pageMargins left="0.7" right="0.7" top="0.75" bottom="0.75" header="0.3" footer="0.3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L436"/>
  <sheetViews>
    <sheetView zoomScaleNormal="100" workbookViewId="0">
      <selection activeCell="E4" sqref="E4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</row>
    <row r="2" spans="1:12" s="2" customFormat="1" x14ac:dyDescent="0.25">
      <c r="A2" s="1" t="s">
        <v>72</v>
      </c>
      <c r="B2" s="120" t="s">
        <v>207</v>
      </c>
      <c r="C2" s="120"/>
      <c r="D2" s="120"/>
      <c r="E2" s="120"/>
      <c r="F2" s="120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42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B4" t="s">
        <v>445</v>
      </c>
      <c r="C4" s="3">
        <v>15844416</v>
      </c>
      <c r="D4" s="3">
        <v>15844416</v>
      </c>
      <c r="E4" s="3">
        <f>5281472+1320368</f>
        <v>6601840</v>
      </c>
      <c r="F4" s="10">
        <f t="shared" ref="F4:F7" si="0">E4/D4</f>
        <v>0.41666666666666669</v>
      </c>
    </row>
    <row r="5" spans="1:12" s="4" customFormat="1" x14ac:dyDescent="0.25">
      <c r="A5" s="4" t="s">
        <v>55</v>
      </c>
      <c r="B5" s="4" t="s">
        <v>56</v>
      </c>
      <c r="C5" s="5">
        <f>SUM(C4:C4)</f>
        <v>15844416</v>
      </c>
      <c r="D5" s="5">
        <f>SUM(D4:D4)</f>
        <v>15844416</v>
      </c>
      <c r="E5" s="5">
        <f>SUM(E4:E4)</f>
        <v>6601840</v>
      </c>
      <c r="F5" s="11">
        <f>E5/D5</f>
        <v>0.41666666666666669</v>
      </c>
    </row>
    <row r="6" spans="1:12" x14ac:dyDescent="0.25">
      <c r="C6" s="3"/>
      <c r="D6" s="3"/>
      <c r="E6" s="3"/>
      <c r="F6" s="10"/>
    </row>
    <row r="7" spans="1:12" s="8" customFormat="1" ht="15.75" x14ac:dyDescent="0.25">
      <c r="B7" s="8" t="s">
        <v>57</v>
      </c>
      <c r="C7" s="9">
        <f>C5</f>
        <v>15844416</v>
      </c>
      <c r="D7" s="9">
        <f>D5</f>
        <v>15844416</v>
      </c>
      <c r="E7" s="9">
        <f>E5</f>
        <v>6601840</v>
      </c>
      <c r="F7" s="11">
        <f t="shared" si="0"/>
        <v>0.41666666666666669</v>
      </c>
    </row>
    <row r="8" spans="1:12" x14ac:dyDescent="0.25">
      <c r="C8" s="3"/>
      <c r="D8" s="3"/>
      <c r="E8" s="3"/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38</vt:i4>
      </vt:variant>
      <vt:variant>
        <vt:lpstr>Névvel ellátott tartományok</vt:lpstr>
      </vt:variant>
      <vt:variant>
        <vt:i4>3</vt:i4>
      </vt:variant>
    </vt:vector>
  </HeadingPairs>
  <TitlesOfParts>
    <vt:vector size="41" baseType="lpstr">
      <vt:lpstr>Összesítő</vt:lpstr>
      <vt:lpstr>011130</vt:lpstr>
      <vt:lpstr>013320</vt:lpstr>
      <vt:lpstr>013350</vt:lpstr>
      <vt:lpstr>018010</vt:lpstr>
      <vt:lpstr>018020</vt:lpstr>
      <vt:lpstr>018030</vt:lpstr>
      <vt:lpstr>031060</vt:lpstr>
      <vt:lpstr>032020</vt:lpstr>
      <vt:lpstr>041232</vt:lpstr>
      <vt:lpstr>041233</vt:lpstr>
      <vt:lpstr>042130</vt:lpstr>
      <vt:lpstr>045160</vt:lpstr>
      <vt:lpstr>047410</vt:lpstr>
      <vt:lpstr>049010</vt:lpstr>
      <vt:lpstr>051030</vt:lpstr>
      <vt:lpstr>051060</vt:lpstr>
      <vt:lpstr>052080</vt:lpstr>
      <vt:lpstr>062020</vt:lpstr>
      <vt:lpstr>064010</vt:lpstr>
      <vt:lpstr>066010</vt:lpstr>
      <vt:lpstr>066020</vt:lpstr>
      <vt:lpstr>072111</vt:lpstr>
      <vt:lpstr>072311</vt:lpstr>
      <vt:lpstr>074031</vt:lpstr>
      <vt:lpstr>081030</vt:lpstr>
      <vt:lpstr>082061</vt:lpstr>
      <vt:lpstr>096015</vt:lpstr>
      <vt:lpstr>102023</vt:lpstr>
      <vt:lpstr>104037</vt:lpstr>
      <vt:lpstr>104044</vt:lpstr>
      <vt:lpstr>107051</vt:lpstr>
      <vt:lpstr>107052</vt:lpstr>
      <vt:lpstr>107060</vt:lpstr>
      <vt:lpstr>107080</vt:lpstr>
      <vt:lpstr>900020</vt:lpstr>
      <vt:lpstr>900060</vt:lpstr>
      <vt:lpstr>Tartalékok</vt:lpstr>
      <vt:lpstr>'011130'!Nyomtatási_terület</vt:lpstr>
      <vt:lpstr>'066020'!Nyomtatási_terület</vt:lpstr>
      <vt:lpstr>'107052'!Nyomtatási_terület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Éva Horváthné</dc:creator>
  <cp:lastModifiedBy>Rajcsicsné Hajni</cp:lastModifiedBy>
  <cp:lastPrinted>2025-08-21T09:19:43Z</cp:lastPrinted>
  <dcterms:created xsi:type="dcterms:W3CDTF">2024-05-17T07:19:03Z</dcterms:created>
  <dcterms:modified xsi:type="dcterms:W3CDTF">2025-09-03T11:57:55Z</dcterms:modified>
</cp:coreProperties>
</file>